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SSD-PGMU3/野辺地/20251114現地ヒヤリング対応/"/>
    </mc:Choice>
  </mc:AlternateContent>
  <xr:revisionPtr revIDLastSave="0" documentId="13_ncr:1_{B5C635EB-E4BF-D84F-B3A8-40DB6AF5F08A}" xr6:coauthVersionLast="47" xr6:coauthVersionMax="47" xr10:uidLastSave="{00000000-0000-0000-0000-000000000000}"/>
  <bookViews>
    <workbookView xWindow="26720" yWindow="4940" windowWidth="31740" windowHeight="17200" firstSheet="1" activeTab="1" xr2:uid="{FB0075F5-6C07-844C-99D0-EFA68460FF8C}"/>
  </bookViews>
  <sheets>
    <sheet name="2.生物量表１" sheetId="1" r:id="rId1"/>
    <sheet name="2.生物量表2" sheetId="13" r:id="rId2"/>
    <sheet name="2.生物量表3" sheetId="3" r:id="rId3"/>
    <sheet name="3.CO2吸収量表1" sheetId="4" r:id="rId4"/>
    <sheet name="3.CO2吸収量表2" sheetId="5" r:id="rId5"/>
    <sheet name="4.ベースライン表1" sheetId="6" r:id="rId6"/>
    <sheet name="4.ベースライン表2" sheetId="7" r:id="rId7"/>
    <sheet name="4.ベースライン表3" sheetId="8" r:id="rId8"/>
    <sheet name="4.ベースライン表4" sheetId="9" r:id="rId9"/>
    <sheet name="4.ベースライン表5" sheetId="14" r:id="rId10"/>
    <sheet name="4.ベースライン表6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2" l="1"/>
  <c r="D12" i="12"/>
  <c r="D11" i="12"/>
  <c r="D5" i="12" l="1"/>
  <c r="D6" i="14"/>
  <c r="D9" i="14" s="1"/>
  <c r="D10" i="14" s="1"/>
  <c r="F11" i="7"/>
  <c r="D10" i="6"/>
  <c r="C10" i="1"/>
  <c r="D10" i="1"/>
  <c r="E10" i="1" s="1"/>
  <c r="H9" i="3"/>
  <c r="E9" i="3"/>
  <c r="H11" i="13"/>
  <c r="L11" i="13"/>
  <c r="K11" i="13"/>
  <c r="J11" i="13"/>
  <c r="N11" i="13"/>
  <c r="T11" i="13"/>
  <c r="S11" i="13"/>
  <c r="R11" i="13"/>
  <c r="P11" i="13"/>
  <c r="O11" i="13"/>
  <c r="G11" i="13"/>
  <c r="E11" i="13"/>
  <c r="D11" i="13"/>
  <c r="Q11" i="13"/>
  <c r="M11" i="13"/>
  <c r="I11" i="13"/>
  <c r="F11" i="13"/>
  <c r="G9" i="8"/>
  <c r="F9" i="8"/>
  <c r="E9" i="8"/>
  <c r="G6" i="8"/>
  <c r="F6" i="8"/>
  <c r="E6" i="8"/>
  <c r="C6" i="5"/>
  <c r="C8" i="5" s="1"/>
  <c r="C9" i="5" s="1"/>
  <c r="C9" i="3" l="1"/>
  <c r="G9" i="3"/>
  <c r="F9" i="3"/>
  <c r="D9" i="3"/>
  <c r="R9" i="13"/>
  <c r="R8" i="13"/>
  <c r="R7" i="13"/>
  <c r="R6" i="13"/>
  <c r="T6" i="13"/>
  <c r="F14" i="4"/>
  <c r="H5" i="4"/>
  <c r="H8" i="4"/>
  <c r="H11" i="4"/>
  <c r="H15" i="4"/>
  <c r="H14" i="4"/>
  <c r="E14" i="4"/>
  <c r="C14" i="4"/>
  <c r="E15" i="4"/>
  <c r="F15" i="4" l="1"/>
  <c r="C15" i="4"/>
  <c r="S9" i="13"/>
  <c r="R10" i="13"/>
  <c r="T10" i="13" s="1"/>
  <c r="S10" i="13"/>
  <c r="P9" i="13"/>
  <c r="N9" i="13"/>
  <c r="O9" i="13"/>
  <c r="N10" i="13"/>
  <c r="P10" i="13" s="1"/>
  <c r="O10" i="13"/>
  <c r="J9" i="13"/>
  <c r="L9" i="13" s="1"/>
  <c r="K9" i="13"/>
  <c r="J10" i="13"/>
  <c r="K10" i="13"/>
  <c r="D10" i="13"/>
  <c r="S8" i="13"/>
  <c r="O8" i="13"/>
  <c r="N8" i="13"/>
  <c r="P8" i="13" s="1"/>
  <c r="K8" i="13"/>
  <c r="J8" i="13"/>
  <c r="S7" i="13"/>
  <c r="O7" i="13"/>
  <c r="N7" i="13"/>
  <c r="K7" i="13"/>
  <c r="J7" i="13"/>
  <c r="S6" i="13"/>
  <c r="O6" i="13"/>
  <c r="N6" i="13"/>
  <c r="K6" i="13"/>
  <c r="J6" i="13"/>
  <c r="T9" i="13" l="1"/>
  <c r="P7" i="13"/>
  <c r="L10" i="13"/>
  <c r="P6" i="13"/>
  <c r="L8" i="13"/>
  <c r="L7" i="13"/>
  <c r="T7" i="13"/>
  <c r="L6" i="13"/>
  <c r="T8" i="13"/>
  <c r="I11" i="7" l="1"/>
  <c r="H11" i="7"/>
  <c r="E11" i="7"/>
  <c r="S10" i="7"/>
  <c r="R10" i="7"/>
  <c r="T10" i="7" s="1"/>
  <c r="O10" i="7"/>
  <c r="N10" i="7"/>
  <c r="P10" i="7" s="1"/>
  <c r="L10" i="7"/>
  <c r="K10" i="7"/>
  <c r="S9" i="7"/>
  <c r="R9" i="7"/>
  <c r="T9" i="7" s="1"/>
  <c r="O9" i="7"/>
  <c r="N9" i="7"/>
  <c r="P9" i="7" s="1"/>
  <c r="L9" i="7"/>
  <c r="K9" i="7"/>
  <c r="S8" i="7"/>
  <c r="R8" i="7"/>
  <c r="T8" i="7" s="1"/>
  <c r="O8" i="7"/>
  <c r="N8" i="7"/>
  <c r="P8" i="7" s="1"/>
  <c r="L8" i="7"/>
  <c r="K8" i="7"/>
  <c r="S7" i="7"/>
  <c r="R7" i="7"/>
  <c r="T7" i="7" s="1"/>
  <c r="O7" i="7"/>
  <c r="N7" i="7"/>
  <c r="P7" i="7" s="1"/>
  <c r="L7" i="7"/>
  <c r="K7" i="7"/>
  <c r="S6" i="7"/>
  <c r="R6" i="7"/>
  <c r="T6" i="7" s="1"/>
  <c r="O6" i="7"/>
  <c r="N6" i="7"/>
  <c r="L6" i="7"/>
  <c r="K6" i="7"/>
  <c r="C10" i="6"/>
  <c r="E9" i="6"/>
  <c r="E8" i="6"/>
  <c r="E7" i="6"/>
  <c r="E6" i="6"/>
  <c r="E5" i="6"/>
  <c r="E10" i="6" s="1"/>
  <c r="K11" i="7" l="1"/>
  <c r="L11" i="7"/>
  <c r="N11" i="7"/>
  <c r="O11" i="7"/>
  <c r="T11" i="7"/>
  <c r="S11" i="7"/>
  <c r="P6" i="7"/>
  <c r="P11" i="7" s="1"/>
  <c r="R11" i="7"/>
  <c r="E9" i="1"/>
  <c r="E8" i="1"/>
  <c r="E7" i="1"/>
  <c r="E6" i="1"/>
  <c r="E5" i="1"/>
</calcChain>
</file>

<file path=xl/sharedStrings.xml><?xml version="1.0" encoding="utf-8"?>
<sst xmlns="http://schemas.openxmlformats.org/spreadsheetml/2006/main" count="181" uniqueCount="124">
  <si>
    <t>St</t>
  </si>
  <si>
    <t>株数</t>
    <rPh sb="0" eb="2">
      <t>カブスウ</t>
    </rPh>
    <phoneticPr fontId="2"/>
  </si>
  <si>
    <t>群落面積
(㎡)</t>
    <rPh sb="0" eb="4">
      <t>グンラク</t>
    </rPh>
    <phoneticPr fontId="2"/>
  </si>
  <si>
    <t>被度</t>
    <rPh sb="0" eb="2">
      <t xml:space="preserve">ヒド </t>
    </rPh>
    <phoneticPr fontId="2"/>
  </si>
  <si>
    <t>平均</t>
    <rPh sb="0" eb="2">
      <t>ヘイキn</t>
    </rPh>
    <phoneticPr fontId="2"/>
  </si>
  <si>
    <t>水深
(m)</t>
    <rPh sb="0" eb="2">
      <t>スイシn</t>
    </rPh>
    <phoneticPr fontId="2"/>
  </si>
  <si>
    <t>0.25㎡から採取された生物量</t>
  </si>
  <si>
    <t>含水率(%)</t>
    <rPh sb="0" eb="3">
      <t>ガンスイ</t>
    </rPh>
    <phoneticPr fontId="2"/>
  </si>
  <si>
    <t>1㎡あたりの生物量</t>
    <phoneticPr fontId="2"/>
  </si>
  <si>
    <t>St</t>
    <phoneticPr fontId="2"/>
  </si>
  <si>
    <t>湿重量(g)</t>
    <rPh sb="0" eb="3">
      <t>シツジュウリョウ</t>
    </rPh>
    <phoneticPr fontId="2"/>
  </si>
  <si>
    <t>乾燥重量(g)</t>
    <rPh sb="0" eb="2">
      <t>カンソウ</t>
    </rPh>
    <rPh sb="2" eb="4">
      <t>シツジュウリョウ</t>
    </rPh>
    <phoneticPr fontId="2"/>
  </si>
  <si>
    <t>湿重量(g/m2)</t>
    <rPh sb="0" eb="3">
      <t>シツジュウリョウ</t>
    </rPh>
    <phoneticPr fontId="2"/>
  </si>
  <si>
    <t>乾燥重量(g/m2)</t>
    <phoneticPr fontId="2"/>
  </si>
  <si>
    <t>地上部</t>
    <rPh sb="0" eb="3">
      <t>チジョウ</t>
    </rPh>
    <phoneticPr fontId="2"/>
  </si>
  <si>
    <t>地下部</t>
    <rPh sb="0" eb="3">
      <t xml:space="preserve">チカブ </t>
    </rPh>
    <phoneticPr fontId="2"/>
  </si>
  <si>
    <t>計</t>
    <rPh sb="0" eb="1">
      <t xml:space="preserve">ケイ </t>
    </rPh>
    <phoneticPr fontId="2"/>
  </si>
  <si>
    <t>St.</t>
    <phoneticPr fontId="2"/>
  </si>
  <si>
    <t>被度 a</t>
    <rPh sb="0" eb="2">
      <t xml:space="preserve">ヒド </t>
    </rPh>
    <phoneticPr fontId="2"/>
  </si>
  <si>
    <t>現存量(g/m2)</t>
    <phoneticPr fontId="2"/>
  </si>
  <si>
    <t>生育密度(g/㎡)</t>
    <rPh sb="0" eb="4">
      <t>セイイク</t>
    </rPh>
    <rPh sb="5" eb="8">
      <t>シツジュウリョウ</t>
    </rPh>
    <phoneticPr fontId="2"/>
  </si>
  <si>
    <t>湿重量 b</t>
    <phoneticPr fontId="2"/>
  </si>
  <si>
    <t>乾燥重量 c</t>
    <rPh sb="0" eb="4">
      <t>カンソウ</t>
    </rPh>
    <phoneticPr fontId="2"/>
  </si>
  <si>
    <t>湿重量 a*b</t>
    <phoneticPr fontId="2"/>
  </si>
  <si>
    <t>乾燥重量 a*c</t>
    <rPh sb="0" eb="4">
      <t>カンソウ</t>
    </rPh>
    <phoneticPr fontId="2"/>
  </si>
  <si>
    <t>項目</t>
    <rPh sb="0" eb="2">
      <t>コウモク</t>
    </rPh>
    <phoneticPr fontId="2"/>
  </si>
  <si>
    <t>生育面積
(㎡)</t>
    <rPh sb="0" eb="2">
      <t>セイイク</t>
    </rPh>
    <rPh sb="2" eb="4">
      <t>グンラク</t>
    </rPh>
    <phoneticPr fontId="2"/>
  </si>
  <si>
    <t>4㎡から採取された生物量</t>
    <phoneticPr fontId="2"/>
  </si>
  <si>
    <t>調査
月日</t>
    <rPh sb="0" eb="2">
      <t>チョウサ</t>
    </rPh>
    <rPh sb="2" eb="4">
      <t xml:space="preserve">ガッピ </t>
    </rPh>
    <phoneticPr fontId="2"/>
  </si>
  <si>
    <t>調査地点</t>
  </si>
  <si>
    <t>水深(m)</t>
    <phoneticPr fontId="2"/>
  </si>
  <si>
    <t>緯度・経度</t>
    <phoneticPr fontId="2"/>
  </si>
  <si>
    <t>現存量(g/㎡)</t>
    <phoneticPr fontId="2"/>
  </si>
  <si>
    <t>調査場所</t>
    <rPh sb="0" eb="4">
      <t>チョスア</t>
    </rPh>
    <phoneticPr fontId="2"/>
  </si>
  <si>
    <t>ミル</t>
    <phoneticPr fontId="2"/>
  </si>
  <si>
    <t>ツルモ</t>
    <phoneticPr fontId="2"/>
  </si>
  <si>
    <t>アマモ</t>
    <phoneticPr fontId="2"/>
  </si>
  <si>
    <t>f5-2.5</t>
    <phoneticPr fontId="2"/>
  </si>
  <si>
    <t>40°52.601'N 141°06.884'E</t>
    <phoneticPr fontId="2"/>
  </si>
  <si>
    <t>離岸堤内側海面</t>
    <rPh sb="0" eb="3">
      <t>リガn</t>
    </rPh>
    <rPh sb="3" eb="7">
      <t>ウチガワカ</t>
    </rPh>
    <phoneticPr fontId="2"/>
  </si>
  <si>
    <t>f6-2.5</t>
    <phoneticPr fontId="2"/>
  </si>
  <si>
    <t>40°52.481'N 141°06.164'E</t>
    <phoneticPr fontId="2"/>
  </si>
  <si>
    <t>f5-5</t>
    <phoneticPr fontId="2"/>
  </si>
  <si>
    <t>40°52.681'N 141°06.984'E</t>
    <phoneticPr fontId="2"/>
  </si>
  <si>
    <t>離岸堤外側海面</t>
    <rPh sb="0" eb="3">
      <t>リガn</t>
    </rPh>
    <rPh sb="3" eb="4">
      <t>ソト</t>
    </rPh>
    <rPh sb="4" eb="7">
      <t>ウチガワカ</t>
    </rPh>
    <phoneticPr fontId="2"/>
  </si>
  <si>
    <t>f6-5</t>
    <phoneticPr fontId="2"/>
  </si>
  <si>
    <t>40°52.571'N 141°06.304'E</t>
    <phoneticPr fontId="2"/>
  </si>
  <si>
    <t>水深</t>
  </si>
  <si>
    <t>(湿重量g/㎡)</t>
  </si>
  <si>
    <t>参照</t>
    <rPh sb="0" eb="2">
      <t>サンショウ</t>
    </rPh>
    <phoneticPr fontId="2"/>
  </si>
  <si>
    <t>表2</t>
    <phoneticPr fontId="2"/>
  </si>
  <si>
    <t>Jブルークレジット®認証申請の手引きp41から引用</t>
    <phoneticPr fontId="2"/>
  </si>
  <si>
    <t>CO2/C=44/12</t>
    <phoneticPr fontId="2"/>
  </si>
  <si>
    <t>計算値</t>
    <rPh sb="0" eb="3">
      <t>ケイサn</t>
    </rPh>
    <phoneticPr fontId="2"/>
  </si>
  <si>
    <t>添付ファイル1.  アマモ場面積に記載</t>
    <rPh sb="0" eb="2">
      <t>テンプ</t>
    </rPh>
    <rPh sb="17" eb="19">
      <t>キサイ</t>
    </rPh>
    <phoneticPr fontId="2"/>
  </si>
  <si>
    <t>地上部(葉)</t>
    <rPh sb="0" eb="3">
      <t>チジョウ</t>
    </rPh>
    <rPh sb="4" eb="5">
      <t xml:space="preserve">ハ </t>
    </rPh>
    <phoneticPr fontId="2"/>
  </si>
  <si>
    <t>平均濃度(%)</t>
    <rPh sb="0" eb="2">
      <t>ヘイキn</t>
    </rPh>
    <rPh sb="2" eb="4">
      <t>ノウド</t>
    </rPh>
    <phoneticPr fontId="2"/>
  </si>
  <si>
    <t>平均濃度(%)</t>
    <rPh sb="0" eb="4">
      <t>ヘイキn</t>
    </rPh>
    <phoneticPr fontId="2"/>
  </si>
  <si>
    <t>地下茎</t>
    <rPh sb="0" eb="3">
      <t>チカケイ</t>
    </rPh>
    <phoneticPr fontId="5"/>
  </si>
  <si>
    <t>根</t>
    <rPh sb="0" eb="1">
      <t xml:space="preserve">ネ </t>
    </rPh>
    <phoneticPr fontId="5"/>
  </si>
  <si>
    <t>地下部</t>
    <rPh sb="0" eb="3">
      <t>チジョウ</t>
    </rPh>
    <phoneticPr fontId="2"/>
  </si>
  <si>
    <t>引用</t>
    <rPh sb="0" eb="2">
      <t>インヨウ</t>
    </rPh>
    <phoneticPr fontId="2"/>
  </si>
  <si>
    <t>総二酸化炭素量 (ton) d=c*44/12</t>
    <rPh sb="0" eb="1">
      <t xml:space="preserve">ソウ </t>
    </rPh>
    <rPh sb="1" eb="7">
      <t xml:space="preserve">ニサンカタ </t>
    </rPh>
    <phoneticPr fontId="2"/>
  </si>
  <si>
    <t>1㎡あたりの生物量(乾燥重量-) a</t>
    <rPh sb="0" eb="3">
      <t>ソウセイ</t>
    </rPh>
    <phoneticPr fontId="2"/>
  </si>
  <si>
    <t>添付ファイル2，表3</t>
    <rPh sb="0" eb="2">
      <t>テンプ</t>
    </rPh>
    <rPh sb="8" eb="9">
      <t>ヒョウ</t>
    </rPh>
    <phoneticPr fontId="2"/>
  </si>
  <si>
    <t>添付ファイル1</t>
    <rPh sb="0" eb="1">
      <t>テンプ</t>
    </rPh>
    <phoneticPr fontId="2"/>
  </si>
  <si>
    <t>アマモ場面積（㎡）b</t>
    <rPh sb="0" eb="4">
      <t>ソウセイメンセキ</t>
    </rPh>
    <phoneticPr fontId="2"/>
  </si>
  <si>
    <t>アマモ場の総生物量(乾燥重量-ton) c=a*b</t>
    <rPh sb="0" eb="3">
      <t>アマモバ</t>
    </rPh>
    <rPh sb="5" eb="9">
      <t>ソウセイブテゥ</t>
    </rPh>
    <phoneticPr fontId="2"/>
  </si>
  <si>
    <t>炭素濃度 %  d</t>
    <rPh sb="0" eb="2">
      <t>タンソ</t>
    </rPh>
    <rPh sb="2" eb="4">
      <t>ノウド</t>
    </rPh>
    <phoneticPr fontId="2"/>
  </si>
  <si>
    <t>総炭素量 (ton) e=c*d</t>
    <rPh sb="0" eb="1">
      <t>ソウタンソ</t>
    </rPh>
    <phoneticPr fontId="2"/>
  </si>
  <si>
    <t>表1</t>
    <rPh sb="0" eb="1">
      <t>ヒョウ</t>
    </rPh>
    <phoneticPr fontId="2"/>
  </si>
  <si>
    <t>区分</t>
  </si>
  <si>
    <t>桁曳禁漁区</t>
  </si>
  <si>
    <t>桁曳操業区</t>
  </si>
  <si>
    <t>対照区, Contorol</t>
  </si>
  <si>
    <t>2009年調査(Before)</t>
  </si>
  <si>
    <t>2024年調査(After)</t>
  </si>
  <si>
    <t>アマモ場, Impact</t>
  </si>
  <si>
    <t>調査場所</t>
  </si>
  <si>
    <t>離岸堤外側海面</t>
  </si>
  <si>
    <t>77.0***</t>
  </si>
  <si>
    <t>2024年に対する2009年の生育密度の比の値  a/b</t>
  </si>
  <si>
    <t>生育密度 a</t>
  </si>
  <si>
    <t>生育密度 b</t>
  </si>
  <si>
    <t>(m)</t>
  </si>
  <si>
    <t>2.5-2.6</t>
  </si>
  <si>
    <t>122.3*</t>
  </si>
  <si>
    <t>2.6-5.2</t>
  </si>
  <si>
    <t>1849.4**</t>
  </si>
  <si>
    <t>離岸堤内側海面</t>
  </si>
  <si>
    <t>5.2-5.3</t>
  </si>
  <si>
    <t>3.9-4.3</t>
  </si>
  <si>
    <t>*表3　水深2.5m,2.6m地点のアマモの平均現存量を引用，　**添付ファイル2，表2の1㎡あたり地上部の湿重量を引用，***表2の1㎡あたり地上部の湿重量を引用</t>
  </si>
  <si>
    <t>添付ファイル2，表2</t>
  </si>
  <si>
    <t>2024年</t>
    <rPh sb="4" eb="5">
      <t>ネn</t>
    </rPh>
    <phoneticPr fontId="2"/>
  </si>
  <si>
    <t>2009年</t>
    <rPh sb="4" eb="5">
      <t>ネn</t>
    </rPh>
    <phoneticPr fontId="2"/>
  </si>
  <si>
    <t>調査時期</t>
    <rPh sb="0" eb="2">
      <t>チョウサジク</t>
    </rPh>
    <rPh sb="2" eb="4">
      <t xml:space="preserve">ジキ </t>
    </rPh>
    <phoneticPr fontId="2"/>
  </si>
  <si>
    <t>値</t>
    <rPh sb="0" eb="1">
      <t>アタイ</t>
    </rPh>
    <phoneticPr fontId="2"/>
  </si>
  <si>
    <t>表4（添付ファイル2，表2）</t>
    <rPh sb="0" eb="1">
      <t>ヒョウ</t>
    </rPh>
    <rPh sb="7" eb="8">
      <t>ネn</t>
    </rPh>
    <phoneticPr fontId="2"/>
  </si>
  <si>
    <t>計算値</t>
    <rPh sb="0" eb="1">
      <t>ケイサn</t>
    </rPh>
    <phoneticPr fontId="2"/>
  </si>
  <si>
    <t>地上部の割合 -c=a/(a+b)</t>
    <rPh sb="0" eb="2">
      <t>チジョウ</t>
    </rPh>
    <phoneticPr fontId="2"/>
  </si>
  <si>
    <t>含水率 -d</t>
    <rPh sb="0" eb="3">
      <t>ガンスイ</t>
    </rPh>
    <phoneticPr fontId="2"/>
  </si>
  <si>
    <t>表3, 4</t>
    <phoneticPr fontId="2"/>
  </si>
  <si>
    <t>添付ファイル2，表2 地上部と地下部の計の値</t>
    <rPh sb="11" eb="14">
      <t>チジョウ</t>
    </rPh>
    <rPh sb="19" eb="20">
      <t>KEI</t>
    </rPh>
    <phoneticPr fontId="2"/>
  </si>
  <si>
    <t>地上部の生育密度（湿重量，wet-g/㎡）-a</t>
    <rPh sb="0" eb="3">
      <t>チジョウ</t>
    </rPh>
    <rPh sb="4" eb="8">
      <t>セイイク</t>
    </rPh>
    <rPh sb="9" eb="12">
      <t>シツジュウリョウ</t>
    </rPh>
    <phoneticPr fontId="2"/>
  </si>
  <si>
    <t>総生育密度（湿重量，wet-g/㎡）-b</t>
    <rPh sb="0" eb="1">
      <t xml:space="preserve">ソウ </t>
    </rPh>
    <rPh sb="1" eb="5">
      <t>セイイク</t>
    </rPh>
    <rPh sb="6" eb="9">
      <t>シツジュウリョウ</t>
    </rPh>
    <phoneticPr fontId="2"/>
  </si>
  <si>
    <t>地上部の生育密度（湿重量，wet-g/㎡）-e</t>
    <rPh sb="0" eb="3">
      <t>チジョウ</t>
    </rPh>
    <rPh sb="4" eb="8">
      <t>セイイク</t>
    </rPh>
    <rPh sb="9" eb="12">
      <t>シツジュウリョウ</t>
    </rPh>
    <phoneticPr fontId="2"/>
  </si>
  <si>
    <t>総生育密度（湿重量，wet-g/㎡）-f=e*/c</t>
    <rPh sb="0" eb="1">
      <t xml:space="preserve">ソウ </t>
    </rPh>
    <rPh sb="1" eb="5">
      <t>セイイク</t>
    </rPh>
    <rPh sb="6" eb="9">
      <t>シツジュウリョウ</t>
    </rPh>
    <phoneticPr fontId="2"/>
  </si>
  <si>
    <t>生育密度（乾燥重量，dry-g/㎡）-f=e*(1-d)</t>
    <rPh sb="0" eb="4">
      <t>セイイク</t>
    </rPh>
    <rPh sb="5" eb="9">
      <t>カンソウ</t>
    </rPh>
    <phoneticPr fontId="2"/>
  </si>
  <si>
    <t>表5</t>
    <phoneticPr fontId="2"/>
  </si>
  <si>
    <t>2024年の桁曳操業区（対照区）のアマモ生育密度 dry-g/㎡ -a</t>
    <rPh sb="4" eb="5">
      <t>ネn</t>
    </rPh>
    <rPh sb="6" eb="8">
      <t>ケタビ</t>
    </rPh>
    <rPh sb="8" eb="11">
      <t>ソウギョウ</t>
    </rPh>
    <rPh sb="12" eb="15">
      <t>タイショウ</t>
    </rPh>
    <rPh sb="20" eb="24">
      <t>セイイク</t>
    </rPh>
    <phoneticPr fontId="2"/>
  </si>
  <si>
    <t>ベースラインにおけるアマモ生育密度-c=a+b</t>
    <rPh sb="13" eb="17">
      <t>セイイク</t>
    </rPh>
    <phoneticPr fontId="2"/>
  </si>
  <si>
    <t>村岡大祐「三陸沿岸の藻場における炭素吸収量把握の試み」.水産研究・教育機構水産技術研究所,東北水研ニュースNo.65　2003　を引用</t>
    <phoneticPr fontId="2"/>
  </si>
  <si>
    <t>P/B比 -d</t>
    <rPh sb="0" eb="4">
      <t>セイイク</t>
    </rPh>
    <phoneticPr fontId="2"/>
  </si>
  <si>
    <t>炭素濃度(%) -e</t>
    <rPh sb="0" eb="2">
      <t>タンソ</t>
    </rPh>
    <rPh sb="2" eb="4">
      <t>ノウド</t>
    </rPh>
    <phoneticPr fontId="2"/>
  </si>
  <si>
    <t>添付ファイル３ アマモ場の二酸化炭素の吸収量の表1を引用</t>
    <rPh sb="0" eb="2">
      <t>テンプ</t>
    </rPh>
    <rPh sb="6" eb="7">
      <t>ヒョウ</t>
    </rPh>
    <rPh sb="23" eb="24">
      <t>ヒョウ</t>
    </rPh>
    <phoneticPr fontId="2"/>
  </si>
  <si>
    <t>残存率① -f</t>
    <rPh sb="0" eb="3">
      <t>ザンゾn</t>
    </rPh>
    <phoneticPr fontId="2"/>
  </si>
  <si>
    <t>残存率② -g</t>
    <rPh sb="0" eb="3">
      <t>ザンゾn</t>
    </rPh>
    <phoneticPr fontId="2"/>
  </si>
  <si>
    <t>生態系全体への変換係数 -h</t>
    <rPh sb="0" eb="1">
      <t>セイタイ</t>
    </rPh>
    <rPh sb="3" eb="5">
      <t>ゼンタイ</t>
    </rPh>
    <rPh sb="7" eb="11">
      <t>ヘンカ</t>
    </rPh>
    <phoneticPr fontId="2"/>
  </si>
  <si>
    <t>二酸化炭素換算係数 -i</t>
    <rPh sb="0" eb="5">
      <t>ニサn</t>
    </rPh>
    <rPh sb="5" eb="7">
      <t>カn</t>
    </rPh>
    <rPh sb="7" eb="9">
      <t>ケイスウ</t>
    </rPh>
    <phoneticPr fontId="2"/>
  </si>
  <si>
    <t>単位面積当たり年間CO2吸収量(ton-CO2/ha/year)-j=a*b*c*(d+e)*f*g</t>
    <rPh sb="0" eb="5">
      <t>タンイ</t>
    </rPh>
    <rPh sb="7" eb="9">
      <t>ネn</t>
    </rPh>
    <rPh sb="12" eb="15">
      <t>キュウシュウリョウ</t>
    </rPh>
    <phoneticPr fontId="2"/>
  </si>
  <si>
    <t>アマモ場の面積(ha)-k</t>
    <phoneticPr fontId="2"/>
  </si>
  <si>
    <t>アマモ場の年間二酸化炭素吸収量(ton-CO2/year) - j*k</t>
    <rPh sb="5" eb="7">
      <t>ネンカn</t>
    </rPh>
    <rPh sb="7" eb="12">
      <t>ニサn</t>
    </rPh>
    <phoneticPr fontId="2"/>
  </si>
  <si>
    <t>2009年の離岸堤内側海面のアマモ生育密度 dry-g/㎡ -b</t>
    <rPh sb="4" eb="5">
      <t>ネn</t>
    </rPh>
    <rPh sb="6" eb="9">
      <t>リガn</t>
    </rPh>
    <rPh sb="9" eb="11">
      <t>ウティ</t>
    </rPh>
    <rPh sb="11" eb="13">
      <t>カイメn</t>
    </rPh>
    <rPh sb="17" eb="21">
      <t>セイイク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</si>
</sst>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00"/>
    <numFmt numFmtId="177" formatCode="0.0"/>
    <numFmt numFmtId="178" formatCode="m&quot;月&quot;d&quot;日&quot;;@"/>
    <numFmt numFmtId="179" formatCode="0.0%"/>
    <numFmt numFmtId="180" formatCode="0.00_);\(0.00\)"/>
    <numFmt numFmtId="181" formatCode="#,##0.000;[Red]\-#,##0.000"/>
    <numFmt numFmtId="182" formatCode="0.0000"/>
    <numFmt numFmtId="183" formatCode="#,##0.0000;[Red]\-#,##0.0000"/>
    <numFmt numFmtId="184" formatCode="0_ "/>
    <numFmt numFmtId="185" formatCode="0.00_);[Red]\(0.00\)"/>
  </numFmts>
  <fonts count="10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00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rgb="FF000000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0" fontId="0" fillId="0" borderId="0" xfId="2" applyNumberFormat="1" applyFont="1" applyFill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0" fontId="0" fillId="0" borderId="6" xfId="2" applyNumberFormat="1" applyFont="1" applyFill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>
      <alignment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0" xfId="2" applyNumberFormat="1" applyFont="1" applyFill="1" applyAlignment="1">
      <alignment horizontal="center" vertical="center"/>
    </xf>
    <xf numFmtId="10" fontId="0" fillId="0" borderId="0" xfId="2" applyNumberFormat="1" applyFont="1" applyAlignment="1">
      <alignment horizontal="center" vertical="center"/>
    </xf>
    <xf numFmtId="10" fontId="0" fillId="0" borderId="6" xfId="2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80" fontId="4" fillId="0" borderId="5" xfId="0" applyNumberFormat="1" applyFon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181" fontId="0" fillId="0" borderId="6" xfId="1" applyNumberFormat="1" applyFont="1" applyFill="1" applyBorder="1" applyAlignment="1">
      <alignment horizontal="center" vertical="center"/>
    </xf>
    <xf numFmtId="10" fontId="0" fillId="0" borderId="4" xfId="2" applyNumberFormat="1" applyFont="1" applyFill="1" applyBorder="1" applyAlignment="1">
      <alignment horizontal="center" vertical="center"/>
    </xf>
    <xf numFmtId="10" fontId="0" fillId="0" borderId="0" xfId="2" applyNumberFormat="1" applyFont="1" applyFill="1" applyBorder="1" applyAlignment="1">
      <alignment horizontal="center" vertical="center"/>
    </xf>
    <xf numFmtId="10" fontId="0" fillId="0" borderId="5" xfId="2" applyNumberFormat="1" applyFont="1" applyFill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8" fontId="0" fillId="0" borderId="5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 readingOrder="1"/>
    </xf>
    <xf numFmtId="0" fontId="6" fillId="0" borderId="2" xfId="0" applyFont="1" applyBorder="1" applyAlignment="1">
      <alignment horizontal="left" vertical="center" wrapText="1" readingOrder="1"/>
    </xf>
    <xf numFmtId="0" fontId="6" fillId="0" borderId="2" xfId="0" applyFont="1" applyBorder="1" applyAlignment="1">
      <alignment horizontal="center" vertical="center" wrapText="1" readingOrder="1"/>
    </xf>
    <xf numFmtId="0" fontId="6" fillId="0" borderId="3" xfId="0" applyFont="1" applyBorder="1" applyAlignment="1">
      <alignment horizontal="left" vertical="center" wrapText="1" readingOrder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2" fontId="7" fillId="0" borderId="6" xfId="0" applyNumberFormat="1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82" fontId="7" fillId="0" borderId="6" xfId="0" applyNumberFormat="1" applyFont="1" applyBorder="1" applyAlignment="1">
      <alignment horizontal="center" vertical="center"/>
    </xf>
    <xf numFmtId="183" fontId="7" fillId="0" borderId="6" xfId="1" applyNumberFormat="1" applyFont="1" applyBorder="1" applyAlignment="1">
      <alignment horizontal="center" vertical="center"/>
    </xf>
    <xf numFmtId="182" fontId="8" fillId="0" borderId="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185" fontId="4" fillId="0" borderId="0" xfId="0" applyNumberFormat="1" applyFont="1" applyAlignment="1">
      <alignment horizontal="center" vertical="center"/>
    </xf>
    <xf numFmtId="185" fontId="4" fillId="0" borderId="4" xfId="0" applyNumberFormat="1" applyFont="1" applyBorder="1" applyAlignment="1">
      <alignment horizontal="center" vertical="center"/>
    </xf>
    <xf numFmtId="185" fontId="4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85" fontId="4" fillId="0" borderId="4" xfId="0" applyNumberFormat="1" applyFont="1" applyBorder="1" applyAlignment="1">
      <alignment horizontal="center" vertical="center"/>
    </xf>
    <xf numFmtId="185" fontId="4" fillId="0" borderId="0" xfId="0" applyNumberFormat="1" applyFont="1" applyAlignment="1">
      <alignment horizontal="center" vertical="center"/>
    </xf>
    <xf numFmtId="185" fontId="4" fillId="0" borderId="5" xfId="0" applyNumberFormat="1" applyFont="1" applyBorder="1" applyAlignment="1">
      <alignment horizontal="center" vertical="center"/>
    </xf>
    <xf numFmtId="184" fontId="4" fillId="0" borderId="4" xfId="0" applyNumberFormat="1" applyFont="1" applyBorder="1" applyAlignment="1">
      <alignment horizontal="center" vertical="center"/>
    </xf>
    <xf numFmtId="184" fontId="4" fillId="0" borderId="5" xfId="0" applyNumberFormat="1" applyFont="1" applyBorder="1" applyAlignment="1">
      <alignment horizontal="center" vertical="center"/>
    </xf>
    <xf numFmtId="184" fontId="4" fillId="0" borderId="6" xfId="0" applyNumberFormat="1" applyFont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 wrapText="1"/>
    </xf>
    <xf numFmtId="178" fontId="0" fillId="0" borderId="0" xfId="0" applyNumberFormat="1" applyAlignment="1">
      <alignment horizontal="center" vertical="center"/>
    </xf>
    <xf numFmtId="178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0" fillId="0" borderId="0" xfId="0" applyBorder="1">
      <alignment vertical="center"/>
    </xf>
    <xf numFmtId="1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left" vertical="center"/>
    </xf>
    <xf numFmtId="2" fontId="0" fillId="0" borderId="0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0" xfId="0" applyFont="1" applyBorder="1" applyAlignment="1">
      <alignment horizontal="center" vertical="center" wrapText="1" readingOrder="1"/>
    </xf>
    <xf numFmtId="0" fontId="9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 readingOrder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 readingOrder="1"/>
    </xf>
    <xf numFmtId="9" fontId="6" fillId="0" borderId="3" xfId="0" applyNumberFormat="1" applyFont="1" applyBorder="1" applyAlignment="1">
      <alignment horizontal="center" vertical="center" wrapText="1" readingOrder="1"/>
    </xf>
    <xf numFmtId="0" fontId="6" fillId="0" borderId="2" xfId="0" applyFont="1" applyBorder="1" applyAlignment="1">
      <alignment horizontal="left" vertical="center" wrapText="1" readingOrder="1"/>
    </xf>
    <xf numFmtId="177" fontId="0" fillId="0" borderId="0" xfId="0" applyNumberForma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177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177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98B3F-7DB6-CE4B-95C7-4ACCE311AEC3}">
  <dimension ref="B3:E10"/>
  <sheetViews>
    <sheetView workbookViewId="0">
      <selection activeCell="F20" sqref="F20"/>
    </sheetView>
  </sheetViews>
  <sheetFormatPr baseColWidth="10" defaultRowHeight="20"/>
  <sheetData>
    <row r="3" spans="2:5">
      <c r="B3" s="51" t="s">
        <v>0</v>
      </c>
      <c r="C3" s="53" t="s">
        <v>1</v>
      </c>
      <c r="D3" s="55" t="s">
        <v>2</v>
      </c>
      <c r="E3" s="53" t="s">
        <v>3</v>
      </c>
    </row>
    <row r="4" spans="2:5">
      <c r="B4" s="52"/>
      <c r="C4" s="54"/>
      <c r="D4" s="54"/>
      <c r="E4" s="54"/>
    </row>
    <row r="5" spans="2:5">
      <c r="B5" s="3">
        <v>1</v>
      </c>
      <c r="C5" s="3">
        <v>5</v>
      </c>
      <c r="D5" s="4">
        <v>3.8250000000000002</v>
      </c>
      <c r="E5" s="5">
        <f t="shared" ref="E5:E10" si="0">ROUNDDOWN(D5/4,4)</f>
        <v>0.95620000000000005</v>
      </c>
    </row>
    <row r="6" spans="2:5">
      <c r="B6" s="3">
        <v>2</v>
      </c>
      <c r="C6" s="3">
        <v>8</v>
      </c>
      <c r="D6" s="4">
        <v>3.6960000000000002</v>
      </c>
      <c r="E6" s="5">
        <f t="shared" si="0"/>
        <v>0.92400000000000004</v>
      </c>
    </row>
    <row r="7" spans="2:5">
      <c r="B7" s="3">
        <v>3</v>
      </c>
      <c r="C7" s="3">
        <v>27</v>
      </c>
      <c r="D7" s="4">
        <v>0.93200000000000005</v>
      </c>
      <c r="E7" s="5">
        <f t="shared" si="0"/>
        <v>0.23300000000000001</v>
      </c>
    </row>
    <row r="8" spans="2:5">
      <c r="B8" s="3">
        <v>4</v>
      </c>
      <c r="C8" s="3">
        <v>30</v>
      </c>
      <c r="D8" s="4">
        <v>1.2549999999999999</v>
      </c>
      <c r="E8" s="5">
        <f t="shared" si="0"/>
        <v>0.31369999999999998</v>
      </c>
    </row>
    <row r="9" spans="2:5">
      <c r="B9" s="3">
        <v>5</v>
      </c>
      <c r="C9" s="3">
        <v>26</v>
      </c>
      <c r="D9" s="4">
        <v>1.1259999999999999</v>
      </c>
      <c r="E9" s="5">
        <f t="shared" si="0"/>
        <v>0.28149999999999997</v>
      </c>
    </row>
    <row r="10" spans="2:5">
      <c r="B10" s="6" t="s">
        <v>4</v>
      </c>
      <c r="C10" s="7">
        <f>AVERAGE(C5:C9)</f>
        <v>19.2</v>
      </c>
      <c r="D10" s="24">
        <f>ROUNDDOWN(AVERAGE(D5:D9),4)</f>
        <v>2.1667999999999998</v>
      </c>
      <c r="E10" s="17">
        <f>ROUNDDOWN(D10/4,4)</f>
        <v>0.54169999999999996</v>
      </c>
    </row>
  </sheetData>
  <mergeCells count="4">
    <mergeCell ref="B3:B4"/>
    <mergeCell ref="C3:C4"/>
    <mergeCell ref="D3:D4"/>
    <mergeCell ref="E3:E4"/>
  </mergeCells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BF719-AF8D-9141-9E98-168DE74DD6D2}">
  <dimension ref="B3:E10"/>
  <sheetViews>
    <sheetView workbookViewId="0">
      <selection activeCell="M28" sqref="M28"/>
    </sheetView>
  </sheetViews>
  <sheetFormatPr baseColWidth="10" defaultRowHeight="20"/>
  <cols>
    <col min="2" max="2" width="10.7109375" style="3"/>
    <col min="3" max="3" width="36" customWidth="1"/>
    <col min="4" max="4" width="12" customWidth="1"/>
    <col min="5" max="5" width="36.140625" customWidth="1"/>
  </cols>
  <sheetData>
    <row r="3" spans="2:5">
      <c r="B3" s="11" t="s">
        <v>96</v>
      </c>
      <c r="C3" s="11" t="s">
        <v>25</v>
      </c>
      <c r="D3" s="11" t="s">
        <v>97</v>
      </c>
      <c r="E3" s="11" t="s">
        <v>61</v>
      </c>
    </row>
    <row r="4" spans="2:5">
      <c r="B4" s="59" t="s">
        <v>94</v>
      </c>
      <c r="C4" t="s">
        <v>104</v>
      </c>
      <c r="D4" s="3">
        <v>1849.4</v>
      </c>
      <c r="E4" t="s">
        <v>98</v>
      </c>
    </row>
    <row r="5" spans="2:5">
      <c r="B5" s="59"/>
      <c r="C5" t="s">
        <v>105</v>
      </c>
      <c r="D5" s="3">
        <v>4064.96</v>
      </c>
      <c r="E5" t="s">
        <v>103</v>
      </c>
    </row>
    <row r="6" spans="2:5">
      <c r="B6" s="59"/>
      <c r="C6" t="s">
        <v>100</v>
      </c>
      <c r="D6" s="16">
        <f>ROUNDDOWN(D4/D5,4)</f>
        <v>0.45490000000000003</v>
      </c>
      <c r="E6" t="s">
        <v>53</v>
      </c>
    </row>
    <row r="7" spans="2:5">
      <c r="B7" s="59"/>
      <c r="C7" t="s">
        <v>101</v>
      </c>
      <c r="D7" s="16">
        <v>0.78059999999999996</v>
      </c>
      <c r="E7" t="s">
        <v>93</v>
      </c>
    </row>
    <row r="8" spans="2:5">
      <c r="B8" s="53" t="s">
        <v>95</v>
      </c>
      <c r="C8" s="23" t="s">
        <v>106</v>
      </c>
      <c r="D8" s="1">
        <v>122.3</v>
      </c>
      <c r="E8" s="23" t="s">
        <v>102</v>
      </c>
    </row>
    <row r="9" spans="2:5">
      <c r="B9" s="84"/>
      <c r="C9" s="80" t="s">
        <v>107</v>
      </c>
      <c r="D9" s="85">
        <f>ROUNDDOWN(D8/D6,1)</f>
        <v>268.8</v>
      </c>
      <c r="E9" s="80" t="s">
        <v>99</v>
      </c>
    </row>
    <row r="10" spans="2:5">
      <c r="B10" s="54"/>
      <c r="C10" s="12" t="s">
        <v>108</v>
      </c>
      <c r="D10" s="2">
        <f>ROUNDDOWN(D9*(1-D7),1)</f>
        <v>58.9</v>
      </c>
      <c r="E10" s="12" t="s">
        <v>99</v>
      </c>
    </row>
  </sheetData>
  <mergeCells count="2">
    <mergeCell ref="B4:B7"/>
    <mergeCell ref="B8:B10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03508-426C-EF49-96D3-E6BBBE6FF71E}">
  <dimension ref="B2:E14"/>
  <sheetViews>
    <sheetView workbookViewId="0">
      <selection activeCell="D14" sqref="D14"/>
    </sheetView>
  </sheetViews>
  <sheetFormatPr baseColWidth="10" defaultRowHeight="20"/>
  <cols>
    <col min="3" max="3" width="17.140625" customWidth="1"/>
    <col min="4" max="4" width="12.5703125" customWidth="1"/>
    <col min="5" max="5" width="28" customWidth="1"/>
  </cols>
  <sheetData>
    <row r="2" spans="2:5" ht="26" customHeight="1">
      <c r="B2" s="79" t="s">
        <v>25</v>
      </c>
      <c r="C2" s="79"/>
      <c r="D2" s="37" t="s">
        <v>97</v>
      </c>
      <c r="E2" s="37" t="s">
        <v>49</v>
      </c>
    </row>
    <row r="3" spans="2:5" ht="37" customHeight="1">
      <c r="B3" s="97" t="s">
        <v>110</v>
      </c>
      <c r="C3" s="97"/>
      <c r="D3" s="98">
        <v>32.299999999999997</v>
      </c>
      <c r="E3" s="99" t="s">
        <v>50</v>
      </c>
    </row>
    <row r="4" spans="2:5" ht="37" customHeight="1">
      <c r="B4" s="102" t="s">
        <v>123</v>
      </c>
      <c r="C4" s="102"/>
      <c r="D4" s="100">
        <v>58.9</v>
      </c>
      <c r="E4" s="101" t="s">
        <v>109</v>
      </c>
    </row>
    <row r="5" spans="2:5" ht="37" customHeight="1">
      <c r="B5" s="102" t="s">
        <v>111</v>
      </c>
      <c r="C5" s="102"/>
      <c r="D5" s="100">
        <f>D3+D4</f>
        <v>91.199999999999989</v>
      </c>
      <c r="E5" s="101" t="s">
        <v>99</v>
      </c>
    </row>
    <row r="6" spans="2:5" ht="71" customHeight="1">
      <c r="B6" s="76" t="s">
        <v>113</v>
      </c>
      <c r="C6" s="76"/>
      <c r="D6" s="36">
        <v>4</v>
      </c>
      <c r="E6" s="38" t="s">
        <v>112</v>
      </c>
    </row>
    <row r="7" spans="2:5" ht="46" customHeight="1">
      <c r="B7" s="76" t="s">
        <v>114</v>
      </c>
      <c r="C7" s="76"/>
      <c r="D7" s="39">
        <v>27.74</v>
      </c>
      <c r="E7" s="38" t="s">
        <v>115</v>
      </c>
    </row>
    <row r="8" spans="2:5" ht="27" customHeight="1">
      <c r="B8" s="76" t="s">
        <v>116</v>
      </c>
      <c r="C8" s="76"/>
      <c r="D8" s="36">
        <v>0.16200000000000001</v>
      </c>
      <c r="E8" s="75" t="s">
        <v>51</v>
      </c>
    </row>
    <row r="9" spans="2:5" ht="27" customHeight="1">
      <c r="B9" s="76" t="s">
        <v>117</v>
      </c>
      <c r="C9" s="76"/>
      <c r="D9" s="36">
        <v>1.8100000000000002E-2</v>
      </c>
      <c r="E9" s="75"/>
    </row>
    <row r="10" spans="2:5" ht="27" customHeight="1">
      <c r="B10" s="76" t="s">
        <v>118</v>
      </c>
      <c r="C10" s="76"/>
      <c r="D10" s="36">
        <v>2.12</v>
      </c>
      <c r="E10" s="75"/>
    </row>
    <row r="11" spans="2:5" ht="27" customHeight="1">
      <c r="B11" s="76" t="s">
        <v>119</v>
      </c>
      <c r="C11" s="76"/>
      <c r="D11" s="40">
        <f>44/12</f>
        <v>3.6666666666666665</v>
      </c>
      <c r="E11" s="38" t="s">
        <v>52</v>
      </c>
    </row>
    <row r="12" spans="2:5" ht="43" customHeight="1">
      <c r="B12" s="77" t="s">
        <v>120</v>
      </c>
      <c r="C12" s="78"/>
      <c r="D12" s="41">
        <f>ROUNDDOWN((D5*D6*D7/100*(D8+D9)*D10*D11/100),4)</f>
        <v>1.4167000000000001</v>
      </c>
      <c r="E12" s="38" t="s">
        <v>53</v>
      </c>
    </row>
    <row r="13" spans="2:5" ht="32" customHeight="1">
      <c r="B13" s="76" t="s">
        <v>121</v>
      </c>
      <c r="C13" s="76"/>
      <c r="D13" s="42">
        <v>4.9927000000000001</v>
      </c>
      <c r="E13" s="38" t="s">
        <v>54</v>
      </c>
    </row>
    <row r="14" spans="2:5" ht="38" customHeight="1">
      <c r="B14" s="75" t="s">
        <v>122</v>
      </c>
      <c r="C14" s="76"/>
      <c r="D14" s="43">
        <f>ROUNDDOWN(D12*D13,4)</f>
        <v>7.0731000000000002</v>
      </c>
      <c r="E14" s="38" t="s">
        <v>53</v>
      </c>
    </row>
  </sheetData>
  <mergeCells count="14">
    <mergeCell ref="B13:C13"/>
    <mergeCell ref="B14:C14"/>
    <mergeCell ref="B2:C2"/>
    <mergeCell ref="B3:C3"/>
    <mergeCell ref="B6:C6"/>
    <mergeCell ref="B7:C7"/>
    <mergeCell ref="B8:C8"/>
    <mergeCell ref="B4:C4"/>
    <mergeCell ref="B5:C5"/>
    <mergeCell ref="E8:E10"/>
    <mergeCell ref="B9:C9"/>
    <mergeCell ref="B10:C10"/>
    <mergeCell ref="B11:C11"/>
    <mergeCell ref="B12:C1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7DD79-2DFB-924F-8B64-9C593F5AB466}">
  <dimension ref="B3:U11"/>
  <sheetViews>
    <sheetView tabSelected="1" workbookViewId="0">
      <selection activeCell="D25" sqref="D25"/>
    </sheetView>
  </sheetViews>
  <sheetFormatPr baseColWidth="10" defaultRowHeight="20"/>
  <cols>
    <col min="2" max="2" width="3.140625" customWidth="1"/>
    <col min="3" max="3" width="4.5703125" customWidth="1"/>
    <col min="4" max="5" width="7.28515625" customWidth="1"/>
    <col min="6" max="6" width="0.7109375" customWidth="1"/>
    <col min="7" max="8" width="5.85546875" customWidth="1"/>
    <col min="9" max="9" width="1" customWidth="1"/>
    <col min="10" max="12" width="7.140625" customWidth="1"/>
    <col min="13" max="13" width="0.85546875" customWidth="1"/>
    <col min="14" max="16" width="7.42578125" customWidth="1"/>
    <col min="17" max="17" width="0.140625" customWidth="1"/>
    <col min="18" max="20" width="6.5703125" customWidth="1"/>
  </cols>
  <sheetData>
    <row r="3" spans="2:21" ht="20" customHeight="1">
      <c r="B3" s="1"/>
      <c r="C3" s="55" t="s">
        <v>5</v>
      </c>
      <c r="D3" s="56" t="s">
        <v>6</v>
      </c>
      <c r="E3" s="56"/>
      <c r="F3" s="56"/>
      <c r="G3" s="56"/>
      <c r="H3" s="56"/>
      <c r="I3" s="1"/>
      <c r="J3" s="53" t="s">
        <v>7</v>
      </c>
      <c r="K3" s="53"/>
      <c r="L3" s="53"/>
      <c r="M3" s="1"/>
      <c r="N3" s="56" t="s">
        <v>8</v>
      </c>
      <c r="O3" s="56"/>
      <c r="P3" s="56"/>
      <c r="Q3" s="56"/>
      <c r="R3" s="56"/>
      <c r="S3" s="56"/>
      <c r="T3" s="56"/>
    </row>
    <row r="4" spans="2:21">
      <c r="B4" s="59" t="s">
        <v>9</v>
      </c>
      <c r="C4" s="57"/>
      <c r="D4" s="56" t="s">
        <v>10</v>
      </c>
      <c r="E4" s="56"/>
      <c r="F4" s="3"/>
      <c r="G4" s="56" t="s">
        <v>11</v>
      </c>
      <c r="H4" s="56"/>
      <c r="I4" s="3"/>
      <c r="J4" s="54"/>
      <c r="K4" s="54"/>
      <c r="L4" s="54"/>
      <c r="M4" s="3"/>
      <c r="N4" s="56" t="s">
        <v>12</v>
      </c>
      <c r="O4" s="56"/>
      <c r="P4" s="56"/>
      <c r="Q4" s="3"/>
      <c r="R4" s="56" t="s">
        <v>13</v>
      </c>
      <c r="S4" s="56"/>
      <c r="T4" s="56"/>
    </row>
    <row r="5" spans="2:21">
      <c r="B5" s="54"/>
      <c r="C5" s="58"/>
      <c r="D5" s="2" t="s">
        <v>14</v>
      </c>
      <c r="E5" s="2" t="s">
        <v>15</v>
      </c>
      <c r="F5" s="2"/>
      <c r="G5" s="2" t="s">
        <v>14</v>
      </c>
      <c r="H5" s="2" t="s">
        <v>15</v>
      </c>
      <c r="I5" s="2"/>
      <c r="J5" s="2" t="s">
        <v>14</v>
      </c>
      <c r="K5" s="2" t="s">
        <v>15</v>
      </c>
      <c r="L5" s="2" t="s">
        <v>4</v>
      </c>
      <c r="M5" s="2"/>
      <c r="N5" s="2" t="s">
        <v>14</v>
      </c>
      <c r="O5" s="2" t="s">
        <v>15</v>
      </c>
      <c r="P5" s="2" t="s">
        <v>16</v>
      </c>
      <c r="Q5" s="2"/>
      <c r="R5" s="2" t="s">
        <v>14</v>
      </c>
      <c r="S5" s="2" t="s">
        <v>15</v>
      </c>
      <c r="T5" s="2" t="s">
        <v>16</v>
      </c>
    </row>
    <row r="6" spans="2:21">
      <c r="B6" s="3">
        <v>1</v>
      </c>
      <c r="C6" s="3">
        <v>2.4</v>
      </c>
      <c r="D6" s="14">
        <v>344.6</v>
      </c>
      <c r="E6" s="14">
        <v>724.2</v>
      </c>
      <c r="F6" s="14"/>
      <c r="G6" s="14">
        <v>61.8</v>
      </c>
      <c r="H6" s="14">
        <v>163.5</v>
      </c>
      <c r="I6" s="14"/>
      <c r="J6" s="5">
        <f t="shared" ref="J6:K8" si="0">ROUNDDOWN(1-(G6/D6),5)</f>
        <v>0.82065999999999995</v>
      </c>
      <c r="K6" s="5">
        <f t="shared" si="0"/>
        <v>0.77422999999999997</v>
      </c>
      <c r="L6" s="5">
        <f>ROUNDDOWN(((J6+K6)/2),4)</f>
        <v>0.7974</v>
      </c>
      <c r="M6" s="14"/>
      <c r="N6" s="14">
        <f t="shared" ref="N6:O8" si="1">D6*4</f>
        <v>1378.4</v>
      </c>
      <c r="O6" s="14">
        <f t="shared" si="1"/>
        <v>2896.8</v>
      </c>
      <c r="P6" s="14">
        <f>N6+O6</f>
        <v>4275.2000000000007</v>
      </c>
      <c r="Q6" s="14"/>
      <c r="R6" s="14">
        <f>G6*4</f>
        <v>247.2</v>
      </c>
      <c r="S6" s="14">
        <f t="shared" ref="S6:S8" si="2">H6*4</f>
        <v>654</v>
      </c>
      <c r="T6" s="14">
        <f>R6+S6</f>
        <v>901.2</v>
      </c>
    </row>
    <row r="7" spans="2:21">
      <c r="B7" s="3">
        <v>2</v>
      </c>
      <c r="C7" s="3">
        <v>2.8</v>
      </c>
      <c r="D7" s="14">
        <v>586.29999999999995</v>
      </c>
      <c r="E7" s="14">
        <v>448.9</v>
      </c>
      <c r="F7" s="14"/>
      <c r="G7" s="14">
        <v>101.7</v>
      </c>
      <c r="H7" s="14">
        <v>104.6</v>
      </c>
      <c r="I7" s="14"/>
      <c r="J7" s="5">
        <f t="shared" si="0"/>
        <v>0.82652999999999999</v>
      </c>
      <c r="K7" s="5">
        <f t="shared" si="0"/>
        <v>0.76698</v>
      </c>
      <c r="L7" s="5">
        <f>ROUNDDOWN(((J7+K7)/2),4)</f>
        <v>0.79669999999999996</v>
      </c>
      <c r="M7" s="14"/>
      <c r="N7" s="14">
        <f t="shared" si="1"/>
        <v>2345.1999999999998</v>
      </c>
      <c r="O7" s="14">
        <f t="shared" si="1"/>
        <v>1795.6</v>
      </c>
      <c r="P7" s="14">
        <f>N7+O7</f>
        <v>4140.7999999999993</v>
      </c>
      <c r="Q7" s="14"/>
      <c r="R7" s="14">
        <f>G7*4</f>
        <v>406.8</v>
      </c>
      <c r="S7" s="14">
        <f t="shared" si="2"/>
        <v>418.4</v>
      </c>
      <c r="T7" s="14">
        <f>R7+S7</f>
        <v>825.2</v>
      </c>
    </row>
    <row r="8" spans="2:21">
      <c r="B8" s="3">
        <v>3</v>
      </c>
      <c r="C8" s="3">
        <v>2.2999999999999998</v>
      </c>
      <c r="D8" s="14">
        <v>407.4</v>
      </c>
      <c r="E8" s="14">
        <v>658.6</v>
      </c>
      <c r="F8" s="14"/>
      <c r="G8" s="14">
        <v>79.2</v>
      </c>
      <c r="H8" s="14">
        <v>128.19999999999999</v>
      </c>
      <c r="I8" s="14"/>
      <c r="J8" s="5">
        <f t="shared" si="0"/>
        <v>0.80559000000000003</v>
      </c>
      <c r="K8" s="5">
        <f t="shared" si="0"/>
        <v>0.80533999999999994</v>
      </c>
      <c r="L8" s="5">
        <f>ROUNDDOWN(((J8+K8)/2),4)</f>
        <v>0.8054</v>
      </c>
      <c r="M8" s="14"/>
      <c r="N8" s="14">
        <f t="shared" si="1"/>
        <v>1629.6</v>
      </c>
      <c r="O8" s="14">
        <f t="shared" si="1"/>
        <v>2634.4</v>
      </c>
      <c r="P8" s="14">
        <f>N8+O8</f>
        <v>4264</v>
      </c>
      <c r="Q8" s="14"/>
      <c r="R8" s="14">
        <f>G8*4</f>
        <v>316.8</v>
      </c>
      <c r="S8" s="14">
        <f t="shared" si="2"/>
        <v>512.79999999999995</v>
      </c>
      <c r="T8" s="14">
        <f>R8+S8</f>
        <v>829.59999999999991</v>
      </c>
    </row>
    <row r="9" spans="2:21">
      <c r="B9" s="3">
        <v>4</v>
      </c>
      <c r="C9" s="3">
        <v>2.7</v>
      </c>
      <c r="D9" s="14">
        <v>578</v>
      </c>
      <c r="E9" s="14">
        <v>335.9</v>
      </c>
      <c r="F9" s="14"/>
      <c r="G9" s="14">
        <v>130.6</v>
      </c>
      <c r="H9" s="14">
        <v>77.400000000000006</v>
      </c>
      <c r="J9" s="5">
        <f>ROUNDDOWN(1-(G9/D9),5)</f>
        <v>0.77403999999999995</v>
      </c>
      <c r="K9" s="5">
        <f>ROUNDDOWN(1-(H9/E9),5)</f>
        <v>0.76956999999999998</v>
      </c>
      <c r="L9" s="5">
        <f>ROUNDDOWN(((J9+K9)/2),4)</f>
        <v>0.77180000000000004</v>
      </c>
      <c r="N9" s="14">
        <f>D9*4</f>
        <v>2312</v>
      </c>
      <c r="O9" s="14">
        <f>E9*4</f>
        <v>1343.6</v>
      </c>
      <c r="P9" s="14">
        <f>N9+O9</f>
        <v>3655.6</v>
      </c>
      <c r="R9" s="14">
        <f>G9*4</f>
        <v>522.4</v>
      </c>
      <c r="S9" s="14">
        <f>H9*4</f>
        <v>309.60000000000002</v>
      </c>
      <c r="T9" s="14">
        <f>R9+S9</f>
        <v>832</v>
      </c>
    </row>
    <row r="10" spans="2:21">
      <c r="B10" s="3">
        <v>5</v>
      </c>
      <c r="C10" s="3">
        <v>2.1</v>
      </c>
      <c r="D10" s="14">
        <f>-22+417.5</f>
        <v>395.5</v>
      </c>
      <c r="E10" s="14">
        <v>601.79999999999995</v>
      </c>
      <c r="F10" s="14"/>
      <c r="G10" s="14">
        <v>98.3</v>
      </c>
      <c r="H10" s="14">
        <v>173.3</v>
      </c>
      <c r="J10" s="5">
        <f>ROUNDDOWN(1-(G10/D10),5)</f>
        <v>0.75144999999999995</v>
      </c>
      <c r="K10" s="5">
        <f>ROUNDDOWN(1-(H10/E10),5)</f>
        <v>0.71203000000000005</v>
      </c>
      <c r="L10" s="5">
        <f>ROUNDDOWN(((J10+K10)/2),4)</f>
        <v>0.73170000000000002</v>
      </c>
      <c r="N10" s="14">
        <f>D10*4</f>
        <v>1582</v>
      </c>
      <c r="O10" s="14">
        <f>E10*4</f>
        <v>2407.1999999999998</v>
      </c>
      <c r="P10" s="14">
        <f>N10+O10</f>
        <v>3989.2</v>
      </c>
      <c r="R10" s="14">
        <f>G10*4</f>
        <v>393.2</v>
      </c>
      <c r="S10" s="14">
        <f>H10*4</f>
        <v>693.2</v>
      </c>
      <c r="T10" s="14">
        <f>R10+S10</f>
        <v>1086.4000000000001</v>
      </c>
    </row>
    <row r="11" spans="2:21">
      <c r="B11" s="56" t="s">
        <v>4</v>
      </c>
      <c r="C11" s="56"/>
      <c r="D11" s="6">
        <f>ROUNDDOWN(AVERAGE(D6:D10),1)</f>
        <v>462.3</v>
      </c>
      <c r="E11" s="6">
        <f>ROUNDDOWN(AVERAGE(E6:E10),1)</f>
        <v>553.79999999999995</v>
      </c>
      <c r="F11" s="6" t="e">
        <f t="shared" ref="E11:T11" si="3">ROUNDDOWN(AVERAGE(F6:F8),1)</f>
        <v>#DIV/0!</v>
      </c>
      <c r="G11" s="6">
        <f>ROUNDDOWN(AVERAGE(G6:G10),1)</f>
        <v>94.3</v>
      </c>
      <c r="H11" s="6">
        <f>ROUNDDOWN(AVERAGE(H6:H10),1)</f>
        <v>129.4</v>
      </c>
      <c r="I11" s="6" t="e">
        <f t="shared" si="3"/>
        <v>#DIV/0!</v>
      </c>
      <c r="J11" s="17">
        <f>ROUNDDOWN(AVERAGE(J6:J10),4)</f>
        <v>0.79559999999999997</v>
      </c>
      <c r="K11" s="17">
        <f t="shared" ref="K11:L11" si="4">ROUNDDOWN(AVERAGE(K6:K10),4)</f>
        <v>0.76559999999999995</v>
      </c>
      <c r="L11" s="17">
        <f t="shared" si="4"/>
        <v>0.78059999999999996</v>
      </c>
      <c r="M11" s="6" t="e">
        <f t="shared" si="3"/>
        <v>#DIV/0!</v>
      </c>
      <c r="N11" s="6">
        <f>ROUNDDOWN(AVERAGE(N6:N10),1)</f>
        <v>1849.4</v>
      </c>
      <c r="O11" s="6">
        <f>ROUNDDOWN(AVERAGE(O6:O10),1)</f>
        <v>2215.5</v>
      </c>
      <c r="P11" s="6">
        <f>ROUNDDOWN(AVERAGE(P6:P10),1)</f>
        <v>4064.9</v>
      </c>
      <c r="Q11" s="6" t="e">
        <f t="shared" si="3"/>
        <v>#DIV/0!</v>
      </c>
      <c r="R11" s="6">
        <f>ROUNDDOWN(AVERAGE(R6:R10),1)</f>
        <v>377.2</v>
      </c>
      <c r="S11" s="6">
        <f>ROUNDDOWN(AVERAGE(S6:S10),1)</f>
        <v>517.6</v>
      </c>
      <c r="T11" s="6">
        <f>ROUNDDOWN(AVERAGE(T6:T10),1)</f>
        <v>894.8</v>
      </c>
      <c r="U11" s="96"/>
    </row>
  </sheetData>
  <mergeCells count="10">
    <mergeCell ref="B11:C11"/>
    <mergeCell ref="C3:C5"/>
    <mergeCell ref="D3:H3"/>
    <mergeCell ref="J3:L4"/>
    <mergeCell ref="N3:T3"/>
    <mergeCell ref="B4:B5"/>
    <mergeCell ref="D4:E4"/>
    <mergeCell ref="G4:H4"/>
    <mergeCell ref="N4:P4"/>
    <mergeCell ref="R4:T4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8947-F078-BF42-995E-C866C2312356}">
  <dimension ref="B2:H9"/>
  <sheetViews>
    <sheetView workbookViewId="0">
      <selection activeCell="H10" sqref="H10"/>
    </sheetView>
  </sheetViews>
  <sheetFormatPr baseColWidth="10" defaultRowHeight="20"/>
  <cols>
    <col min="6" max="6" width="1.28515625" customWidth="1"/>
  </cols>
  <sheetData>
    <row r="2" spans="2:8">
      <c r="B2" s="53" t="s">
        <v>17</v>
      </c>
      <c r="C2" s="53" t="s">
        <v>18</v>
      </c>
      <c r="D2" s="56" t="s">
        <v>19</v>
      </c>
      <c r="E2" s="56"/>
      <c r="F2" s="1"/>
      <c r="G2" s="56" t="s">
        <v>20</v>
      </c>
      <c r="H2" s="56"/>
    </row>
    <row r="3" spans="2:8">
      <c r="B3" s="54"/>
      <c r="C3" s="54"/>
      <c r="D3" s="2" t="s">
        <v>21</v>
      </c>
      <c r="E3" s="2" t="s">
        <v>22</v>
      </c>
      <c r="F3" s="2"/>
      <c r="G3" s="2" t="s">
        <v>23</v>
      </c>
      <c r="H3" s="2" t="s">
        <v>24</v>
      </c>
    </row>
    <row r="4" spans="2:8">
      <c r="B4" s="3">
        <v>1</v>
      </c>
      <c r="C4" s="16">
        <v>0.95620000000000005</v>
      </c>
      <c r="D4" s="14">
        <v>4275.2000000000007</v>
      </c>
      <c r="E4" s="14">
        <v>901.2</v>
      </c>
      <c r="F4" s="14"/>
      <c r="G4" s="14">
        <v>4088.1</v>
      </c>
      <c r="H4" s="14">
        <v>861.7</v>
      </c>
    </row>
    <row r="5" spans="2:8">
      <c r="B5" s="3">
        <v>2</v>
      </c>
      <c r="C5" s="16">
        <v>0.92400000000000004</v>
      </c>
      <c r="D5" s="14">
        <v>4140.7999999999993</v>
      </c>
      <c r="E5" s="14">
        <v>825.2</v>
      </c>
      <c r="F5" s="14"/>
      <c r="G5" s="14">
        <v>3826</v>
      </c>
      <c r="H5" s="14">
        <v>762.4</v>
      </c>
    </row>
    <row r="6" spans="2:8">
      <c r="B6" s="3">
        <v>3</v>
      </c>
      <c r="C6" s="16">
        <v>0.23300000000000001</v>
      </c>
      <c r="D6" s="14">
        <v>4264</v>
      </c>
      <c r="E6" s="14">
        <v>829.59999999999991</v>
      </c>
      <c r="F6" s="14"/>
      <c r="G6" s="14">
        <v>993.5</v>
      </c>
      <c r="H6" s="14">
        <v>193.2</v>
      </c>
    </row>
    <row r="7" spans="2:8">
      <c r="B7" s="3">
        <v>4</v>
      </c>
      <c r="C7" s="16">
        <v>0.31369999999999998</v>
      </c>
      <c r="D7" s="14">
        <v>3655.6</v>
      </c>
      <c r="E7" s="14">
        <v>832</v>
      </c>
      <c r="F7" s="14"/>
      <c r="G7" s="14">
        <v>1146.9000000000001</v>
      </c>
      <c r="H7" s="14">
        <v>261</v>
      </c>
    </row>
    <row r="8" spans="2:8">
      <c r="B8" s="3">
        <v>5</v>
      </c>
      <c r="C8" s="16">
        <v>0.28149999999999997</v>
      </c>
      <c r="D8" s="14">
        <v>3989.2</v>
      </c>
      <c r="E8" s="14">
        <v>1086.4000000000001</v>
      </c>
      <c r="F8" s="14"/>
      <c r="G8" s="14">
        <v>1122.9000000000001</v>
      </c>
      <c r="H8" s="14">
        <v>305.8</v>
      </c>
    </row>
    <row r="9" spans="2:8">
      <c r="B9" s="11" t="s">
        <v>4</v>
      </c>
      <c r="C9" s="17">
        <f t="shared" ref="C9:H9" si="0">ROUNDDOWN(AVERAGE(C4:C8),2)</f>
        <v>0.54</v>
      </c>
      <c r="D9" s="6">
        <f t="shared" si="0"/>
        <v>4064.96</v>
      </c>
      <c r="E9" s="6">
        <f>ROUNDDOWN(AVERAGE(E4:E8),2)</f>
        <v>894.88</v>
      </c>
      <c r="F9" s="6" t="e">
        <f t="shared" si="0"/>
        <v>#DIV/0!</v>
      </c>
      <c r="G9" s="6">
        <f t="shared" si="0"/>
        <v>2235.48</v>
      </c>
      <c r="H9" s="6">
        <f>ROUNDDOWN(AVERAGE(H4:H8),2)</f>
        <v>476.82</v>
      </c>
    </row>
  </sheetData>
  <mergeCells count="4">
    <mergeCell ref="B2:B3"/>
    <mergeCell ref="C2:C3"/>
    <mergeCell ref="D2:E2"/>
    <mergeCell ref="G2:H2"/>
  </mergeCells>
  <phoneticPr fontId="2"/>
  <pageMargins left="0.7" right="0.7" top="0.75" bottom="0.75" header="0.3" footer="0.3"/>
  <ignoredErrors>
    <ignoredError sqref="F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5D182-79E6-FD4A-843E-53DA6296E97C}">
  <dimension ref="B3:H15"/>
  <sheetViews>
    <sheetView workbookViewId="0">
      <selection activeCell="F18" sqref="F18"/>
    </sheetView>
  </sheetViews>
  <sheetFormatPr baseColWidth="10" defaultRowHeight="20"/>
  <cols>
    <col min="4" max="4" width="0.85546875" customWidth="1"/>
    <col min="7" max="7" width="0.5703125" customWidth="1"/>
  </cols>
  <sheetData>
    <row r="3" spans="2:8">
      <c r="B3" s="60" t="s">
        <v>17</v>
      </c>
      <c r="C3" s="66" t="s">
        <v>55</v>
      </c>
      <c r="D3" s="45"/>
      <c r="E3" s="68" t="s">
        <v>60</v>
      </c>
      <c r="F3" s="68"/>
      <c r="G3" s="23"/>
      <c r="H3" s="60" t="s">
        <v>56</v>
      </c>
    </row>
    <row r="4" spans="2:8">
      <c r="B4" s="61"/>
      <c r="C4" s="67"/>
      <c r="D4" s="44"/>
      <c r="E4" s="44" t="s">
        <v>58</v>
      </c>
      <c r="F4" s="44" t="s">
        <v>59</v>
      </c>
      <c r="G4" s="12"/>
      <c r="H4" s="61"/>
    </row>
    <row r="5" spans="2:8">
      <c r="B5" s="62">
        <v>3</v>
      </c>
      <c r="C5" s="18">
        <v>37.159317612031145</v>
      </c>
      <c r="D5" s="46"/>
      <c r="E5" s="19">
        <v>20.71581430009871</v>
      </c>
      <c r="F5" s="19">
        <v>21.290900780200221</v>
      </c>
      <c r="H5" s="63">
        <f>ROUNDDOWN(AVERAGE(C5:F7),3)</f>
        <v>26.151</v>
      </c>
    </row>
    <row r="6" spans="2:8">
      <c r="B6" s="62"/>
      <c r="C6" s="19">
        <v>37.036892040276207</v>
      </c>
      <c r="D6" s="46"/>
      <c r="E6" s="19">
        <v>20.134910973000494</v>
      </c>
      <c r="F6" s="19">
        <v>21.326837613065685</v>
      </c>
      <c r="H6" s="64"/>
    </row>
    <row r="7" spans="2:8">
      <c r="B7" s="62"/>
      <c r="C7" s="20">
        <v>36.746421535418079</v>
      </c>
      <c r="D7" s="46"/>
      <c r="E7" s="20">
        <v>20.391667984332511</v>
      </c>
      <c r="F7" s="20">
        <v>20.563308844819836</v>
      </c>
      <c r="H7" s="65"/>
    </row>
    <row r="8" spans="2:8">
      <c r="B8" s="60">
        <v>4</v>
      </c>
      <c r="C8" s="19">
        <v>21.742153999088544</v>
      </c>
      <c r="D8" s="47"/>
      <c r="E8" s="19">
        <v>35.964134609757046</v>
      </c>
      <c r="F8" s="19">
        <v>26.472342744575947</v>
      </c>
      <c r="G8" s="23"/>
      <c r="H8" s="63">
        <f>ROUNDDOWN(AVERAGE(C8:F10),3)</f>
        <v>28.067</v>
      </c>
    </row>
    <row r="9" spans="2:8">
      <c r="B9" s="62"/>
      <c r="C9" s="19">
        <v>21.891726635388455</v>
      </c>
      <c r="D9" s="46"/>
      <c r="E9" s="19">
        <v>36.315913751100403</v>
      </c>
      <c r="F9" s="19">
        <v>26.018931270891738</v>
      </c>
      <c r="H9" s="64"/>
    </row>
    <row r="10" spans="2:8">
      <c r="B10" s="61"/>
      <c r="C10" s="20">
        <v>21.456057623420943</v>
      </c>
      <c r="D10" s="48"/>
      <c r="E10" s="20">
        <v>36.059694860323482</v>
      </c>
      <c r="F10" s="19">
        <v>26.686939154539921</v>
      </c>
      <c r="G10" s="12"/>
      <c r="H10" s="65"/>
    </row>
    <row r="11" spans="2:8">
      <c r="B11" s="62">
        <v>5</v>
      </c>
      <c r="C11" s="18">
        <v>35.850180466525721</v>
      </c>
      <c r="D11" s="47"/>
      <c r="E11" s="19">
        <v>26.952720036578018</v>
      </c>
      <c r="F11" s="18">
        <v>24.307805108845834</v>
      </c>
      <c r="H11" s="63">
        <f>ROUNDDOWN(AVERAGE(C11:F13),3)</f>
        <v>28.995999999999999</v>
      </c>
    </row>
    <row r="12" spans="2:8">
      <c r="B12" s="62"/>
      <c r="C12" s="19">
        <v>35.486592798932556</v>
      </c>
      <c r="D12" s="46"/>
      <c r="E12" s="19">
        <v>27.212592532324965</v>
      </c>
      <c r="F12" s="19">
        <v>24.368286855430789</v>
      </c>
      <c r="H12" s="64"/>
    </row>
    <row r="13" spans="2:8">
      <c r="B13" s="62"/>
      <c r="C13" s="20">
        <v>36.025616636084621</v>
      </c>
      <c r="D13" s="46"/>
      <c r="E13" s="20">
        <v>26.686036391599878</v>
      </c>
      <c r="F13" s="20">
        <v>24.077893774322487</v>
      </c>
      <c r="H13" s="65"/>
    </row>
    <row r="14" spans="2:8">
      <c r="B14" s="60" t="s">
        <v>57</v>
      </c>
      <c r="C14" s="47">
        <f>ROUNDDOWN(AVERAGE(C5:C13),3)</f>
        <v>31.488</v>
      </c>
      <c r="D14" s="23"/>
      <c r="E14" s="47">
        <f>ROUNDDOWN(AVERAGE(E5:E13),3)</f>
        <v>27.824999999999999</v>
      </c>
      <c r="F14" s="47">
        <f>ROUNDDOWN(AVERAGE(F5:F13),3)</f>
        <v>23.901</v>
      </c>
      <c r="G14" s="23"/>
      <c r="H14" s="47">
        <f>ROUNDDOWN(AVERAGE(C5:F13),3)</f>
        <v>27.738</v>
      </c>
    </row>
    <row r="15" spans="2:8">
      <c r="B15" s="61"/>
      <c r="C15" s="21">
        <f>ROUNDDOWN(-1*STDEV(C5:C13),3)</f>
        <v>-7.3639999999999999</v>
      </c>
      <c r="D15" s="12"/>
      <c r="E15" s="21">
        <f>ROUNDDOWN(-1*STDEV(E5:E13),3)</f>
        <v>-6.8319999999999999</v>
      </c>
      <c r="F15" s="21">
        <f>ROUNDDOWN(-1*STDEV(F5:F13),3)</f>
        <v>-2.3410000000000002</v>
      </c>
      <c r="G15" s="12"/>
      <c r="H15" s="21">
        <f>ROUNDDOWN(-1*STDEV(C5:F13),3)</f>
        <v>-6.5350000000000001</v>
      </c>
    </row>
  </sheetData>
  <mergeCells count="11">
    <mergeCell ref="B8:B10"/>
    <mergeCell ref="H8:H10"/>
    <mergeCell ref="B11:B13"/>
    <mergeCell ref="H11:H13"/>
    <mergeCell ref="B14:B15"/>
    <mergeCell ref="B3:B4"/>
    <mergeCell ref="B5:B7"/>
    <mergeCell ref="H5:H7"/>
    <mergeCell ref="C3:C4"/>
    <mergeCell ref="E3:F3"/>
    <mergeCell ref="H3:H4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34A4E-5F72-6648-84EB-864D40DDF69D}">
  <dimension ref="B3:D9"/>
  <sheetViews>
    <sheetView workbookViewId="0">
      <selection activeCell="D28" sqref="D28"/>
    </sheetView>
  </sheetViews>
  <sheetFormatPr baseColWidth="10" defaultRowHeight="20"/>
  <cols>
    <col min="2" max="2" width="34.42578125" customWidth="1"/>
    <col min="4" max="4" width="19.7109375" customWidth="1"/>
  </cols>
  <sheetData>
    <row r="3" spans="2:4">
      <c r="B3" s="50" t="s">
        <v>25</v>
      </c>
      <c r="C3" s="11" t="s">
        <v>16</v>
      </c>
      <c r="D3" s="11" t="s">
        <v>61</v>
      </c>
    </row>
    <row r="4" spans="2:4">
      <c r="B4" s="23" t="s">
        <v>63</v>
      </c>
      <c r="C4" s="3">
        <v>476.8</v>
      </c>
      <c r="D4" t="s">
        <v>64</v>
      </c>
    </row>
    <row r="5" spans="2:4">
      <c r="B5" s="80" t="s">
        <v>66</v>
      </c>
      <c r="C5" s="81">
        <v>49927</v>
      </c>
      <c r="D5" s="49" t="s">
        <v>65</v>
      </c>
    </row>
    <row r="6" spans="2:4">
      <c r="B6" t="s">
        <v>67</v>
      </c>
      <c r="C6" s="3">
        <f>ROUNDDOWN(C4*C5/1000000,3)</f>
        <v>23.805</v>
      </c>
      <c r="D6" t="s">
        <v>53</v>
      </c>
    </row>
    <row r="7" spans="2:4">
      <c r="B7" s="3" t="s">
        <v>68</v>
      </c>
      <c r="C7" s="83">
        <v>27.74</v>
      </c>
      <c r="D7" s="82" t="s">
        <v>70</v>
      </c>
    </row>
    <row r="8" spans="2:4">
      <c r="B8" s="3" t="s">
        <v>69</v>
      </c>
      <c r="C8" s="4">
        <f>ROUNDDOWN(C6*C7/100,3)</f>
        <v>6.6029999999999998</v>
      </c>
      <c r="D8" t="s">
        <v>53</v>
      </c>
    </row>
    <row r="9" spans="2:4">
      <c r="B9" s="2" t="s">
        <v>62</v>
      </c>
      <c r="C9" s="22">
        <f>C8*44/12</f>
        <v>24.210999999999999</v>
      </c>
      <c r="D9" s="12" t="s">
        <v>53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EC9CB-8E6C-4D46-ACBD-1166D1C4B3CE}">
  <dimension ref="B3:E10"/>
  <sheetViews>
    <sheetView workbookViewId="0">
      <selection activeCell="D11" sqref="D11"/>
    </sheetView>
  </sheetViews>
  <sheetFormatPr baseColWidth="10" defaultRowHeight="20"/>
  <sheetData>
    <row r="3" spans="2:5">
      <c r="B3" s="51" t="s">
        <v>0</v>
      </c>
      <c r="C3" s="53" t="s">
        <v>1</v>
      </c>
      <c r="D3" s="55" t="s">
        <v>26</v>
      </c>
      <c r="E3" s="53" t="s">
        <v>3</v>
      </c>
    </row>
    <row r="4" spans="2:5">
      <c r="B4" s="52"/>
      <c r="C4" s="54"/>
      <c r="D4" s="54"/>
      <c r="E4" s="54"/>
    </row>
    <row r="5" spans="2:5">
      <c r="B5" s="1">
        <v>6</v>
      </c>
      <c r="C5" s="1">
        <v>10</v>
      </c>
      <c r="D5" s="1">
        <v>9.2999999999999999E-2</v>
      </c>
      <c r="E5" s="25">
        <f>ROUNDDOWN(D5/4,4)</f>
        <v>2.3199999999999998E-2</v>
      </c>
    </row>
    <row r="6" spans="2:5">
      <c r="B6" s="3">
        <v>7</v>
      </c>
      <c r="C6" s="3">
        <v>24</v>
      </c>
      <c r="D6" s="3">
        <v>0.38400000000000001</v>
      </c>
      <c r="E6" s="26">
        <f>ROUNDDOWN(D6/4,4)</f>
        <v>9.6000000000000002E-2</v>
      </c>
    </row>
    <row r="7" spans="2:5">
      <c r="B7" s="3">
        <v>8</v>
      </c>
      <c r="C7" s="3">
        <v>10</v>
      </c>
      <c r="D7" s="3">
        <v>0.16800000000000001</v>
      </c>
      <c r="E7" s="26">
        <f>ROUNDDOWN(D7/4,4)</f>
        <v>4.2000000000000003E-2</v>
      </c>
    </row>
    <row r="8" spans="2:5">
      <c r="B8" s="3">
        <v>9</v>
      </c>
      <c r="C8" s="3">
        <v>12</v>
      </c>
      <c r="D8" s="3">
        <v>0.23200000000000001</v>
      </c>
      <c r="E8" s="26">
        <f>ROUNDDOWN(D8/4,4)</f>
        <v>5.8000000000000003E-2</v>
      </c>
    </row>
    <row r="9" spans="2:5">
      <c r="B9" s="2">
        <v>10</v>
      </c>
      <c r="C9" s="2">
        <v>18</v>
      </c>
      <c r="D9" s="2">
        <v>0.26800000000000002</v>
      </c>
      <c r="E9" s="27">
        <f>ROUNDDOWN(D9/4,4)</f>
        <v>6.7000000000000004E-2</v>
      </c>
    </row>
    <row r="10" spans="2:5">
      <c r="B10" s="6" t="s">
        <v>4</v>
      </c>
      <c r="C10" s="6">
        <f>ROUNDDOWN(AVERAGE(C5:C9),3)</f>
        <v>14.8</v>
      </c>
      <c r="D10" s="8">
        <f>ROUNDDOWN(AVERAGE(D5:D9),3)</f>
        <v>0.22900000000000001</v>
      </c>
      <c r="E10" s="9">
        <f>ROUNDDOWN(AVERAGE(E5:E9),4)</f>
        <v>5.7200000000000001E-2</v>
      </c>
    </row>
  </sheetData>
  <mergeCells count="4">
    <mergeCell ref="B3:B4"/>
    <mergeCell ref="C3:C4"/>
    <mergeCell ref="D3:D4"/>
    <mergeCell ref="E3:E4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97F0C-2B33-4A45-B299-4FCCAED34C0B}">
  <dimension ref="B3:T11"/>
  <sheetViews>
    <sheetView workbookViewId="0">
      <selection activeCell="F12" sqref="F12"/>
    </sheetView>
  </sheetViews>
  <sheetFormatPr baseColWidth="10" defaultRowHeight="20"/>
  <cols>
    <col min="7" max="7" width="1.7109375" customWidth="1"/>
    <col min="10" max="10" width="1.28515625" customWidth="1"/>
    <col min="13" max="13" width="0.85546875" customWidth="1"/>
    <col min="17" max="17" width="1" customWidth="1"/>
  </cols>
  <sheetData>
    <row r="3" spans="2:20">
      <c r="B3" s="53" t="s">
        <v>9</v>
      </c>
      <c r="C3" s="69" t="s">
        <v>28</v>
      </c>
      <c r="D3" s="55" t="s">
        <v>5</v>
      </c>
      <c r="E3" s="56" t="s">
        <v>27</v>
      </c>
      <c r="F3" s="56"/>
      <c r="G3" s="56"/>
      <c r="H3" s="56"/>
      <c r="I3" s="56"/>
      <c r="J3" s="1"/>
      <c r="K3" s="53" t="s">
        <v>7</v>
      </c>
      <c r="L3" s="53"/>
      <c r="M3" s="1"/>
      <c r="N3" s="56" t="s">
        <v>8</v>
      </c>
      <c r="O3" s="56"/>
      <c r="P3" s="56"/>
      <c r="Q3" s="56"/>
      <c r="R3" s="56"/>
      <c r="S3" s="56"/>
      <c r="T3" s="56"/>
    </row>
    <row r="4" spans="2:20">
      <c r="B4" s="59"/>
      <c r="C4" s="70"/>
      <c r="D4" s="57"/>
      <c r="E4" s="54" t="s">
        <v>10</v>
      </c>
      <c r="F4" s="54"/>
      <c r="G4" s="3"/>
      <c r="H4" s="54" t="s">
        <v>11</v>
      </c>
      <c r="I4" s="54"/>
      <c r="J4" s="3"/>
      <c r="K4" s="54"/>
      <c r="L4" s="54"/>
      <c r="M4" s="3"/>
      <c r="N4" s="56" t="s">
        <v>12</v>
      </c>
      <c r="O4" s="56"/>
      <c r="P4" s="56"/>
      <c r="Q4" s="3"/>
      <c r="R4" s="54" t="s">
        <v>13</v>
      </c>
      <c r="S4" s="54"/>
      <c r="T4" s="54"/>
    </row>
    <row r="5" spans="2:20">
      <c r="B5" s="54"/>
      <c r="C5" s="71"/>
      <c r="D5" s="58"/>
      <c r="E5" s="2" t="s">
        <v>14</v>
      </c>
      <c r="F5" s="2" t="s">
        <v>15</v>
      </c>
      <c r="G5" s="2"/>
      <c r="H5" s="2" t="s">
        <v>14</v>
      </c>
      <c r="I5" s="2" t="s">
        <v>15</v>
      </c>
      <c r="J5" s="2"/>
      <c r="K5" s="2" t="s">
        <v>14</v>
      </c>
      <c r="L5" s="2" t="s">
        <v>15</v>
      </c>
      <c r="M5" s="2"/>
      <c r="N5" s="2" t="s">
        <v>14</v>
      </c>
      <c r="O5" s="2" t="s">
        <v>15</v>
      </c>
      <c r="P5" s="2" t="s">
        <v>16</v>
      </c>
      <c r="Q5" s="2"/>
      <c r="R5" s="2" t="s">
        <v>14</v>
      </c>
      <c r="S5" s="2" t="s">
        <v>15</v>
      </c>
      <c r="T5" s="2" t="s">
        <v>16</v>
      </c>
    </row>
    <row r="6" spans="2:20">
      <c r="B6" s="1">
        <v>6</v>
      </c>
      <c r="C6" s="10">
        <v>45482</v>
      </c>
      <c r="D6" s="1">
        <v>4.3</v>
      </c>
      <c r="E6" s="28">
        <v>231.8</v>
      </c>
      <c r="F6" s="28">
        <v>255.5</v>
      </c>
      <c r="G6" s="28"/>
      <c r="H6" s="28">
        <v>41.8</v>
      </c>
      <c r="I6" s="28">
        <v>77.400000000000006</v>
      </c>
      <c r="J6" s="28"/>
      <c r="K6" s="15">
        <f>ROUNDDOWN(1-(H6/E6),5)</f>
        <v>0.81967000000000001</v>
      </c>
      <c r="L6" s="15">
        <f>ROUNDDOWN(1-(I6/F6),5)</f>
        <v>0.69706000000000001</v>
      </c>
      <c r="M6" s="28"/>
      <c r="N6" s="28">
        <f>ROUNDDOWN(E6/4,1)</f>
        <v>57.9</v>
      </c>
      <c r="O6" s="28">
        <f>ROUNDDOWN(F6/4,1)</f>
        <v>63.8</v>
      </c>
      <c r="P6" s="28">
        <f>N6+O6</f>
        <v>121.69999999999999</v>
      </c>
      <c r="Q6" s="28"/>
      <c r="R6" s="28">
        <f>ROUNDDOWN(H6/4,1)</f>
        <v>10.4</v>
      </c>
      <c r="S6" s="28">
        <f>ROUNDDOWN(I6/4,1)</f>
        <v>19.3</v>
      </c>
      <c r="T6" s="28">
        <f>R6+S6</f>
        <v>29.700000000000003</v>
      </c>
    </row>
    <row r="7" spans="2:20">
      <c r="B7" s="3">
        <v>7</v>
      </c>
      <c r="C7" s="13">
        <v>45482</v>
      </c>
      <c r="D7" s="14">
        <v>4.2</v>
      </c>
      <c r="E7" s="14">
        <v>254.5</v>
      </c>
      <c r="F7" s="14">
        <v>376.8</v>
      </c>
      <c r="G7" s="14"/>
      <c r="H7" s="14">
        <v>55.9</v>
      </c>
      <c r="I7" s="14">
        <v>57.4</v>
      </c>
      <c r="J7" s="14"/>
      <c r="K7" s="15">
        <f t="shared" ref="K7:L10" si="0">ROUNDDOWN(1-(H7/E7),5)</f>
        <v>0.78034999999999999</v>
      </c>
      <c r="L7" s="15">
        <f t="shared" si="0"/>
        <v>0.84765999999999997</v>
      </c>
      <c r="M7" s="14"/>
      <c r="N7" s="14">
        <f t="shared" ref="N7:O10" si="1">ROUNDDOWN(E7/4,1)</f>
        <v>63.6</v>
      </c>
      <c r="O7" s="14">
        <f t="shared" si="1"/>
        <v>94.2</v>
      </c>
      <c r="P7" s="14">
        <f>N7+O7</f>
        <v>157.80000000000001</v>
      </c>
      <c r="Q7" s="14"/>
      <c r="R7" s="14">
        <f t="shared" ref="R7:S10" si="2">ROUNDDOWN(H7/4,1)</f>
        <v>13.9</v>
      </c>
      <c r="S7" s="14">
        <f t="shared" si="2"/>
        <v>14.3</v>
      </c>
      <c r="T7" s="14">
        <f>R7+S7</f>
        <v>28.200000000000003</v>
      </c>
    </row>
    <row r="8" spans="2:20">
      <c r="B8" s="3">
        <v>8</v>
      </c>
      <c r="C8" s="13">
        <v>45482</v>
      </c>
      <c r="D8" s="14">
        <v>3.9</v>
      </c>
      <c r="E8" s="14">
        <v>192.8</v>
      </c>
      <c r="F8" s="14">
        <v>210.2</v>
      </c>
      <c r="G8" s="14"/>
      <c r="H8" s="14">
        <v>43.4</v>
      </c>
      <c r="I8" s="14">
        <v>56.9</v>
      </c>
      <c r="J8" s="14"/>
      <c r="K8" s="15">
        <f t="shared" si="0"/>
        <v>0.77488999999999997</v>
      </c>
      <c r="L8" s="15">
        <f t="shared" si="0"/>
        <v>0.72929999999999995</v>
      </c>
      <c r="M8" s="14"/>
      <c r="N8" s="14">
        <f t="shared" si="1"/>
        <v>48.2</v>
      </c>
      <c r="O8" s="14">
        <f t="shared" si="1"/>
        <v>52.5</v>
      </c>
      <c r="P8" s="14">
        <f>N8+O8</f>
        <v>100.7</v>
      </c>
      <c r="Q8" s="14"/>
      <c r="R8" s="14">
        <f t="shared" si="2"/>
        <v>10.8</v>
      </c>
      <c r="S8" s="14">
        <f t="shared" si="2"/>
        <v>14.2</v>
      </c>
      <c r="T8" s="14">
        <f>R8+S8</f>
        <v>25</v>
      </c>
    </row>
    <row r="9" spans="2:20">
      <c r="B9" s="3">
        <v>9</v>
      </c>
      <c r="C9" s="13">
        <v>45482</v>
      </c>
      <c r="D9" s="14">
        <v>4</v>
      </c>
      <c r="E9" s="14">
        <v>489</v>
      </c>
      <c r="F9" s="14">
        <v>154.9</v>
      </c>
      <c r="G9" s="14"/>
      <c r="H9" s="14">
        <v>102.8</v>
      </c>
      <c r="I9" s="14">
        <v>25.1</v>
      </c>
      <c r="J9" s="14"/>
      <c r="K9" s="15">
        <f t="shared" si="0"/>
        <v>0.78976999999999997</v>
      </c>
      <c r="L9" s="15">
        <f t="shared" si="0"/>
        <v>0.83794999999999997</v>
      </c>
      <c r="M9" s="14"/>
      <c r="N9" s="14">
        <f t="shared" si="1"/>
        <v>122.2</v>
      </c>
      <c r="O9" s="14">
        <f t="shared" si="1"/>
        <v>38.700000000000003</v>
      </c>
      <c r="P9" s="14">
        <f>N9+O9</f>
        <v>160.9</v>
      </c>
      <c r="Q9" s="14"/>
      <c r="R9" s="14">
        <f t="shared" si="2"/>
        <v>25.7</v>
      </c>
      <c r="S9" s="14">
        <f t="shared" si="2"/>
        <v>6.2</v>
      </c>
      <c r="T9" s="14">
        <f>R9+S9</f>
        <v>31.9</v>
      </c>
    </row>
    <row r="10" spans="2:20">
      <c r="B10" s="2">
        <v>10</v>
      </c>
      <c r="C10" s="29">
        <v>45482</v>
      </c>
      <c r="D10" s="2">
        <v>4.3</v>
      </c>
      <c r="E10" s="30">
        <v>373.2</v>
      </c>
      <c r="F10" s="30">
        <v>446.5</v>
      </c>
      <c r="G10" s="30"/>
      <c r="H10" s="30">
        <v>76.599999999999994</v>
      </c>
      <c r="I10" s="30">
        <v>111.7</v>
      </c>
      <c r="J10" s="30"/>
      <c r="K10" s="15">
        <f t="shared" si="0"/>
        <v>0.79474</v>
      </c>
      <c r="L10" s="15">
        <f t="shared" si="0"/>
        <v>0.74983</v>
      </c>
      <c r="M10" s="30"/>
      <c r="N10" s="30">
        <f t="shared" si="1"/>
        <v>93.3</v>
      </c>
      <c r="O10" s="30">
        <f t="shared" si="1"/>
        <v>111.6</v>
      </c>
      <c r="P10" s="30">
        <f>N10+O10</f>
        <v>204.89999999999998</v>
      </c>
      <c r="Q10" s="30"/>
      <c r="R10" s="30">
        <f t="shared" si="2"/>
        <v>19.100000000000001</v>
      </c>
      <c r="S10" s="30">
        <f t="shared" si="2"/>
        <v>27.9</v>
      </c>
      <c r="T10" s="30">
        <f>R10+S10</f>
        <v>47</v>
      </c>
    </row>
    <row r="11" spans="2:20">
      <c r="B11" s="56" t="s">
        <v>4</v>
      </c>
      <c r="C11" s="56"/>
      <c r="D11" s="56"/>
      <c r="E11" s="6">
        <f>ROUNDDOWN(AVERAGE(E6:E10),1)</f>
        <v>308.2</v>
      </c>
      <c r="F11" s="6">
        <f>ROUNDDOWN(AVERAGE(F6:F10),1)</f>
        <v>288.7</v>
      </c>
      <c r="G11" s="6"/>
      <c r="H11" s="6">
        <f>ROUNDDOWN(AVERAGE(H6:H10),1)</f>
        <v>64.099999999999994</v>
      </c>
      <c r="I11" s="6">
        <f>ROUNDDOWN(AVERAGE(I6:I10),1)</f>
        <v>65.7</v>
      </c>
      <c r="J11" s="6"/>
      <c r="K11" s="9">
        <f>ROUNDDOWN(AVERAGE(K6:K10),4)</f>
        <v>0.79179999999999995</v>
      </c>
      <c r="L11" s="9">
        <f>ROUNDDOWN(AVERAGE(L6:L10),4)</f>
        <v>0.77229999999999999</v>
      </c>
      <c r="M11" s="6"/>
      <c r="N11" s="6">
        <f>ROUNDDOWN(AVERAGE(N6:N10),1)</f>
        <v>77</v>
      </c>
      <c r="O11" s="6">
        <f>ROUNDDOWN(AVERAGE(O6:O10),1)</f>
        <v>72.099999999999994</v>
      </c>
      <c r="P11" s="6">
        <f>ROUNDDOWN(AVERAGE(P6:P10),1)</f>
        <v>149.19999999999999</v>
      </c>
      <c r="Q11" s="6"/>
      <c r="R11" s="6">
        <f>ROUNDDOWN(AVERAGE(R6:R10),1)</f>
        <v>15.9</v>
      </c>
      <c r="S11" s="6">
        <f>ROUNDDOWN(AVERAGE(S6:S10),1)</f>
        <v>16.3</v>
      </c>
      <c r="T11" s="6">
        <f>ROUNDDOWN(AVERAGE(T6:T10),1)</f>
        <v>32.299999999999997</v>
      </c>
    </row>
  </sheetData>
  <mergeCells count="11">
    <mergeCell ref="B11:D11"/>
    <mergeCell ref="B3:B5"/>
    <mergeCell ref="C3:C5"/>
    <mergeCell ref="D3:D5"/>
    <mergeCell ref="E3:I3"/>
    <mergeCell ref="K3:L4"/>
    <mergeCell ref="N3:T3"/>
    <mergeCell ref="E4:F4"/>
    <mergeCell ref="H4:I4"/>
    <mergeCell ref="N4:P4"/>
    <mergeCell ref="R4:T4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6D4F8-CFAE-D94C-AAE8-A1B31389D2CC}">
  <dimension ref="B2:H9"/>
  <sheetViews>
    <sheetView workbookViewId="0">
      <selection activeCell="E24" sqref="E24"/>
    </sheetView>
  </sheetViews>
  <sheetFormatPr baseColWidth="10" defaultRowHeight="20"/>
  <cols>
    <col min="4" max="4" width="29.7109375" customWidth="1"/>
    <col min="8" max="8" width="26.5703125" customWidth="1"/>
  </cols>
  <sheetData>
    <row r="2" spans="2:8">
      <c r="B2" s="72" t="s">
        <v>29</v>
      </c>
      <c r="C2" s="72" t="s">
        <v>30</v>
      </c>
      <c r="D2" s="72" t="s">
        <v>31</v>
      </c>
      <c r="E2" s="74" t="s">
        <v>32</v>
      </c>
      <c r="F2" s="74"/>
      <c r="G2" s="74"/>
      <c r="H2" s="72" t="s">
        <v>33</v>
      </c>
    </row>
    <row r="3" spans="2:8">
      <c r="B3" s="73"/>
      <c r="C3" s="73"/>
      <c r="D3" s="73"/>
      <c r="E3" s="31" t="s">
        <v>34</v>
      </c>
      <c r="F3" s="31" t="s">
        <v>35</v>
      </c>
      <c r="G3" s="31" t="s">
        <v>36</v>
      </c>
      <c r="H3" s="73"/>
    </row>
    <row r="4" spans="2:8">
      <c r="B4" s="3" t="s">
        <v>37</v>
      </c>
      <c r="C4" s="3">
        <v>2.6</v>
      </c>
      <c r="D4" s="3" t="s">
        <v>38</v>
      </c>
      <c r="E4" s="3">
        <v>988.7</v>
      </c>
      <c r="F4" s="3">
        <v>0</v>
      </c>
      <c r="G4" s="3">
        <v>0</v>
      </c>
      <c r="H4" t="s">
        <v>39</v>
      </c>
    </row>
    <row r="5" spans="2:8">
      <c r="B5" s="3" t="s">
        <v>40</v>
      </c>
      <c r="C5" s="3">
        <v>2.5</v>
      </c>
      <c r="D5" s="3" t="s">
        <v>41</v>
      </c>
      <c r="E5" s="3">
        <v>166.1</v>
      </c>
      <c r="F5" s="3">
        <v>0</v>
      </c>
      <c r="G5" s="3">
        <v>244.7</v>
      </c>
      <c r="H5" t="s">
        <v>39</v>
      </c>
    </row>
    <row r="6" spans="2:8">
      <c r="B6" s="59" t="s">
        <v>4</v>
      </c>
      <c r="C6" s="59"/>
      <c r="D6" s="59"/>
      <c r="E6" s="3">
        <f>ROUNDDOWN((E4+E5)/2,1)</f>
        <v>577.4</v>
      </c>
      <c r="F6" s="3">
        <f>ROUNDDOWN((F4+F5)/2,1)</f>
        <v>0</v>
      </c>
      <c r="G6" s="3">
        <f>ROUNDDOWN((G4+G5)/2,1)</f>
        <v>122.3</v>
      </c>
    </row>
    <row r="7" spans="2:8">
      <c r="B7" s="1" t="s">
        <v>42</v>
      </c>
      <c r="C7" s="1">
        <v>5.2</v>
      </c>
      <c r="D7" s="1" t="s">
        <v>43</v>
      </c>
      <c r="E7" s="1">
        <v>0</v>
      </c>
      <c r="F7" s="1">
        <v>0</v>
      </c>
      <c r="G7" s="1">
        <v>0</v>
      </c>
      <c r="H7" s="23" t="s">
        <v>44</v>
      </c>
    </row>
    <row r="8" spans="2:8">
      <c r="B8" s="3" t="s">
        <v>45</v>
      </c>
      <c r="C8" s="3">
        <v>5.2</v>
      </c>
      <c r="D8" s="3" t="s">
        <v>46</v>
      </c>
      <c r="E8" s="3">
        <v>38.700000000000003</v>
      </c>
      <c r="F8" s="3">
        <v>12.4</v>
      </c>
      <c r="G8" s="3">
        <v>0</v>
      </c>
      <c r="H8" t="s">
        <v>44</v>
      </c>
    </row>
    <row r="9" spans="2:8">
      <c r="B9" s="54" t="s">
        <v>4</v>
      </c>
      <c r="C9" s="54"/>
      <c r="D9" s="54"/>
      <c r="E9" s="2">
        <f>ROUNDDOWN((E7+E8)/2,1)</f>
        <v>19.3</v>
      </c>
      <c r="F9" s="2">
        <f>ROUNDDOWN((F7+F8)/2,1)</f>
        <v>6.2</v>
      </c>
      <c r="G9" s="2">
        <f>ROUNDDOWN((G7+G8)/2,1)</f>
        <v>0</v>
      </c>
      <c r="H9" s="12"/>
    </row>
  </sheetData>
  <mergeCells count="7">
    <mergeCell ref="B6:D6"/>
    <mergeCell ref="B9:D9"/>
    <mergeCell ref="B2:B3"/>
    <mergeCell ref="C2:C3"/>
    <mergeCell ref="D2:D3"/>
    <mergeCell ref="E2:G2"/>
    <mergeCell ref="H2:H3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4D35F-4F39-554D-91E5-234761652A03}">
  <dimension ref="B2:K7"/>
  <sheetViews>
    <sheetView workbookViewId="0">
      <selection activeCell="L26" sqref="L26"/>
    </sheetView>
  </sheetViews>
  <sheetFormatPr baseColWidth="10" defaultRowHeight="20"/>
  <cols>
    <col min="2" max="2" width="10.140625" customWidth="1"/>
    <col min="3" max="3" width="15.28515625" customWidth="1"/>
    <col min="4" max="4" width="8.5703125" customWidth="1"/>
    <col min="5" max="5" width="11.7109375" customWidth="1"/>
    <col min="6" max="6" width="0.85546875" customWidth="1"/>
    <col min="7" max="7" width="7.85546875" customWidth="1"/>
    <col min="8" max="8" width="11.85546875" customWidth="1"/>
    <col min="9" max="9" width="1.140625" customWidth="1"/>
    <col min="10" max="10" width="17" customWidth="1"/>
    <col min="11" max="11" width="19.28515625" customWidth="1"/>
  </cols>
  <sheetData>
    <row r="2" spans="2:11">
      <c r="B2" s="86" t="s">
        <v>71</v>
      </c>
      <c r="C2" s="86"/>
      <c r="D2" s="87" t="s">
        <v>75</v>
      </c>
      <c r="E2" s="87"/>
      <c r="F2" s="34"/>
      <c r="G2" s="87" t="s">
        <v>76</v>
      </c>
      <c r="H2" s="87"/>
      <c r="I2" s="34"/>
      <c r="J2" s="86" t="s">
        <v>81</v>
      </c>
      <c r="K2" s="86" t="s">
        <v>78</v>
      </c>
    </row>
    <row r="3" spans="2:11" ht="21">
      <c r="B3" s="88"/>
      <c r="C3" s="88"/>
      <c r="D3" s="34" t="s">
        <v>47</v>
      </c>
      <c r="E3" s="34" t="s">
        <v>82</v>
      </c>
      <c r="F3" s="89"/>
      <c r="G3" s="34" t="s">
        <v>47</v>
      </c>
      <c r="H3" s="34" t="s">
        <v>83</v>
      </c>
      <c r="I3" s="89"/>
      <c r="J3" s="88"/>
      <c r="K3" s="88"/>
    </row>
    <row r="4" spans="2:11" ht="21">
      <c r="B4" s="90"/>
      <c r="C4" s="90"/>
      <c r="D4" s="32" t="s">
        <v>84</v>
      </c>
      <c r="E4" s="32" t="s">
        <v>48</v>
      </c>
      <c r="F4" s="32"/>
      <c r="G4" s="32" t="s">
        <v>84</v>
      </c>
      <c r="H4" s="32" t="s">
        <v>48</v>
      </c>
      <c r="I4" s="32"/>
      <c r="J4" s="90"/>
      <c r="K4" s="90"/>
    </row>
    <row r="5" spans="2:11" ht="21">
      <c r="B5" s="33" t="s">
        <v>72</v>
      </c>
      <c r="C5" s="33" t="s">
        <v>77</v>
      </c>
      <c r="D5" s="34" t="s">
        <v>85</v>
      </c>
      <c r="E5" s="34" t="s">
        <v>86</v>
      </c>
      <c r="F5" s="91"/>
      <c r="G5" s="34" t="s">
        <v>87</v>
      </c>
      <c r="H5" s="34" t="s">
        <v>88</v>
      </c>
      <c r="I5" s="92"/>
      <c r="J5" s="93">
        <v>0.06</v>
      </c>
      <c r="K5" s="34" t="s">
        <v>89</v>
      </c>
    </row>
    <row r="6" spans="2:11" ht="21">
      <c r="B6" s="35" t="s">
        <v>73</v>
      </c>
      <c r="C6" s="35" t="s">
        <v>74</v>
      </c>
      <c r="D6" s="32" t="s">
        <v>90</v>
      </c>
      <c r="E6" s="32">
        <v>0</v>
      </c>
      <c r="F6" s="32"/>
      <c r="G6" s="32" t="s">
        <v>91</v>
      </c>
      <c r="H6" s="32" t="s">
        <v>80</v>
      </c>
      <c r="I6" s="35"/>
      <c r="J6" s="94">
        <v>0</v>
      </c>
      <c r="K6" s="32" t="s">
        <v>79</v>
      </c>
    </row>
    <row r="7" spans="2:11" ht="54" customHeight="1">
      <c r="B7" s="95" t="s">
        <v>92</v>
      </c>
      <c r="C7" s="95"/>
      <c r="D7" s="95"/>
      <c r="E7" s="95"/>
      <c r="F7" s="95"/>
      <c r="G7" s="95"/>
      <c r="H7" s="95"/>
      <c r="I7" s="95"/>
      <c r="J7" s="95"/>
      <c r="K7" s="95"/>
    </row>
  </sheetData>
  <mergeCells count="6">
    <mergeCell ref="B7:K7"/>
    <mergeCell ref="B2:C4"/>
    <mergeCell ref="D2:E2"/>
    <mergeCell ref="G2:H2"/>
    <mergeCell ref="J2:J4"/>
    <mergeCell ref="K2:K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2.生物量表１</vt:lpstr>
      <vt:lpstr>2.生物量表2</vt:lpstr>
      <vt:lpstr>2.生物量表3</vt:lpstr>
      <vt:lpstr>3.CO2吸収量表1</vt:lpstr>
      <vt:lpstr>3.CO2吸収量表2</vt:lpstr>
      <vt:lpstr>4.ベースライン表1</vt:lpstr>
      <vt:lpstr>4.ベースライン表2</vt:lpstr>
      <vt:lpstr>4.ベースライン表3</vt:lpstr>
      <vt:lpstr>4.ベースライン表4</vt:lpstr>
      <vt:lpstr>4.ベースライン表5</vt:lpstr>
      <vt:lpstr>4.ベースライン表6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桐原 慎二</dc:creator>
  <cp:lastModifiedBy>桐原 慎二</cp:lastModifiedBy>
  <dcterms:created xsi:type="dcterms:W3CDTF">2025-10-03T03:35:13Z</dcterms:created>
  <dcterms:modified xsi:type="dcterms:W3CDTF">2025-11-16T07:17:24Z</dcterms:modified>
</cp:coreProperties>
</file>